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lack\Documents\Titan Tournaments scores\Baseball\scores\"/>
    </mc:Choice>
  </mc:AlternateContent>
  <xr:revisionPtr revIDLastSave="0" documentId="8_{D3391F59-E71E-4F0F-9AF5-299CD1DE0CD9}" xr6:coauthVersionLast="47" xr6:coauthVersionMax="47" xr10:uidLastSave="{00000000-0000-0000-0000-000000000000}"/>
  <bookViews>
    <workbookView xWindow="-110" yWindow="-110" windowWidth="19420" windowHeight="10420" activeTab="7" xr2:uid="{00000000-000D-0000-FFFF-FFFF00000000}"/>
  </bookViews>
  <sheets>
    <sheet name="7U" sheetId="1" r:id="rId1"/>
    <sheet name="8U" sheetId="2" r:id="rId2"/>
    <sheet name="9U" sheetId="3" r:id="rId3"/>
    <sheet name="10U" sheetId="4" r:id="rId4"/>
    <sheet name="11U" sheetId="5" r:id="rId5"/>
    <sheet name="12U" sheetId="6" r:id="rId6"/>
    <sheet name="13U" sheetId="7" r:id="rId7"/>
    <sheet name="14U" sheetId="8" r:id="rId8"/>
    <sheet name="15U" sheetId="9" r:id="rId9"/>
    <sheet name="16U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8" l="1"/>
  <c r="H10" i="8" s="1"/>
  <c r="F10" i="8"/>
  <c r="B10" i="8"/>
  <c r="G3" i="8"/>
  <c r="F3" i="8"/>
  <c r="C3" i="8"/>
  <c r="G21" i="8"/>
  <c r="F21" i="8"/>
  <c r="C21" i="8"/>
  <c r="G6" i="8"/>
  <c r="F6" i="8"/>
  <c r="C6" i="8"/>
  <c r="B3" i="8"/>
  <c r="G20" i="8"/>
  <c r="F20" i="8"/>
  <c r="C20" i="8"/>
  <c r="B21" i="8"/>
  <c r="G13" i="8"/>
  <c r="F13" i="8"/>
  <c r="C13" i="8"/>
  <c r="B6" i="8"/>
  <c r="L6" i="8" s="1"/>
  <c r="O6" i="8" s="1"/>
  <c r="B13" i="8"/>
  <c r="C10" i="8"/>
  <c r="N20" i="8"/>
  <c r="J3" i="8"/>
  <c r="N3" i="8"/>
  <c r="N13" i="8"/>
  <c r="N21" i="8"/>
  <c r="N10" i="8"/>
  <c r="I10" i="8"/>
  <c r="I7" i="8"/>
  <c r="K6" i="8"/>
  <c r="N6" i="8"/>
  <c r="M6" i="8"/>
  <c r="H6" i="8"/>
  <c r="G14" i="6"/>
  <c r="F14" i="6"/>
  <c r="B14" i="6"/>
  <c r="G38" i="6"/>
  <c r="F38" i="6"/>
  <c r="C38" i="6"/>
  <c r="H14" i="6"/>
  <c r="G25" i="6"/>
  <c r="F25" i="6"/>
  <c r="C25" i="6"/>
  <c r="G15" i="6"/>
  <c r="F15" i="6"/>
  <c r="C15" i="6"/>
  <c r="B38" i="6"/>
  <c r="B25" i="6"/>
  <c r="G34" i="6"/>
  <c r="F34" i="6"/>
  <c r="C34" i="6"/>
  <c r="L14" i="6"/>
  <c r="B34" i="6"/>
  <c r="B15" i="6"/>
  <c r="N25" i="6"/>
  <c r="N34" i="6"/>
  <c r="N15" i="6"/>
  <c r="K15" i="6"/>
  <c r="N38" i="6"/>
  <c r="J38" i="6"/>
  <c r="I14" i="6"/>
  <c r="D14" i="6"/>
  <c r="M14" i="6" s="1"/>
  <c r="C14" i="6"/>
  <c r="N14" i="6"/>
  <c r="G42" i="4"/>
  <c r="F42" i="4"/>
  <c r="C42" i="4"/>
  <c r="G43" i="4"/>
  <c r="F43" i="4"/>
  <c r="B43" i="4"/>
  <c r="G4" i="4"/>
  <c r="F4" i="4"/>
  <c r="C4" i="4"/>
  <c r="B42" i="4"/>
  <c r="G23" i="4"/>
  <c r="F23" i="4"/>
  <c r="C23" i="4"/>
  <c r="E23" i="4"/>
  <c r="B4" i="4"/>
  <c r="N23" i="4"/>
  <c r="D23" i="4"/>
  <c r="M23" i="4" s="1"/>
  <c r="B23" i="4"/>
  <c r="L23" i="4" s="1"/>
  <c r="O23" i="4" s="1"/>
  <c r="N4" i="4"/>
  <c r="K4" i="4"/>
  <c r="N42" i="4"/>
  <c r="J42" i="4"/>
  <c r="N43" i="4"/>
  <c r="I43" i="4"/>
  <c r="G5" i="3"/>
  <c r="F5" i="3"/>
  <c r="B5" i="3"/>
  <c r="G43" i="3"/>
  <c r="F43" i="3"/>
  <c r="C43" i="3"/>
  <c r="G41" i="3"/>
  <c r="F41" i="3"/>
  <c r="C41" i="3"/>
  <c r="G23" i="3"/>
  <c r="F23" i="3"/>
  <c r="C23" i="3"/>
  <c r="B43" i="3"/>
  <c r="G50" i="3"/>
  <c r="F50" i="3"/>
  <c r="C50" i="3"/>
  <c r="B41" i="3"/>
  <c r="G9" i="3"/>
  <c r="F9" i="3"/>
  <c r="C9" i="3"/>
  <c r="B23" i="3"/>
  <c r="B47" i="3"/>
  <c r="B9" i="3"/>
  <c r="C5" i="3"/>
  <c r="N43" i="3"/>
  <c r="J43" i="3"/>
  <c r="N9" i="3"/>
  <c r="N50" i="3"/>
  <c r="N41" i="3"/>
  <c r="N5" i="3"/>
  <c r="I5" i="3"/>
  <c r="N23" i="3"/>
  <c r="K23" i="3"/>
  <c r="G48" i="5"/>
  <c r="F48" i="5"/>
  <c r="B48" i="5"/>
  <c r="G39" i="5"/>
  <c r="F39" i="5"/>
  <c r="C39" i="5"/>
  <c r="K33" i="5"/>
  <c r="J39" i="5"/>
  <c r="K39" i="5"/>
  <c r="B39" i="5"/>
  <c r="G33" i="5"/>
  <c r="F33" i="5"/>
  <c r="C33" i="5"/>
  <c r="B33" i="5"/>
  <c r="N33" i="5"/>
  <c r="N39" i="5"/>
  <c r="N48" i="5"/>
  <c r="I48" i="5"/>
  <c r="G39" i="7"/>
  <c r="F39" i="7"/>
  <c r="C39" i="7"/>
  <c r="G20" i="7"/>
  <c r="F20" i="7"/>
  <c r="B20" i="7"/>
  <c r="G17" i="7"/>
  <c r="F17" i="7"/>
  <c r="C17" i="7"/>
  <c r="B39" i="7"/>
  <c r="G5" i="7"/>
  <c r="F5" i="7"/>
  <c r="C5" i="7"/>
  <c r="B21" i="7"/>
  <c r="H5" i="7"/>
  <c r="N17" i="7"/>
  <c r="K17" i="7"/>
  <c r="N39" i="7"/>
  <c r="J39" i="7"/>
  <c r="N5" i="7"/>
  <c r="D5" i="7"/>
  <c r="M5" i="7" s="1"/>
  <c r="B5" i="7"/>
  <c r="L5" i="7" s="1"/>
  <c r="O5" i="7" s="1"/>
  <c r="N20" i="7"/>
  <c r="I20" i="7"/>
  <c r="G10" i="7"/>
  <c r="F10" i="7"/>
  <c r="B10" i="7"/>
  <c r="G34" i="7"/>
  <c r="F34" i="7"/>
  <c r="C34" i="7"/>
  <c r="G28" i="7"/>
  <c r="F28" i="7"/>
  <c r="C28" i="7"/>
  <c r="E28" i="7" s="1"/>
  <c r="B17" i="7"/>
  <c r="L17" i="7"/>
  <c r="K34" i="7"/>
  <c r="N34" i="7"/>
  <c r="D34" i="7"/>
  <c r="M34" i="7" s="1"/>
  <c r="B34" i="7"/>
  <c r="L34" i="7" s="1"/>
  <c r="N33" i="7"/>
  <c r="N28" i="7"/>
  <c r="D28" i="7"/>
  <c r="M28" i="7" s="1"/>
  <c r="B28" i="7"/>
  <c r="L28" i="7" s="1"/>
  <c r="N10" i="7"/>
  <c r="I10" i="7"/>
  <c r="J17" i="7"/>
  <c r="D17" i="7"/>
  <c r="M17" i="7" s="1"/>
  <c r="G37" i="5"/>
  <c r="F37" i="5"/>
  <c r="B37" i="5"/>
  <c r="G40" i="5"/>
  <c r="F40" i="5"/>
  <c r="C40" i="5"/>
  <c r="B40" i="5"/>
  <c r="G38" i="5"/>
  <c r="F38" i="5"/>
  <c r="C38" i="5"/>
  <c r="G28" i="5"/>
  <c r="F28" i="5"/>
  <c r="C28" i="5"/>
  <c r="B38" i="5"/>
  <c r="L38" i="5" s="1"/>
  <c r="G10" i="5"/>
  <c r="F10" i="5"/>
  <c r="C10" i="5"/>
  <c r="B10" i="5"/>
  <c r="E28" i="5"/>
  <c r="N36" i="5"/>
  <c r="N28" i="5"/>
  <c r="H28" i="5"/>
  <c r="D28" i="5"/>
  <c r="M28" i="5" s="1"/>
  <c r="B28" i="5"/>
  <c r="L28" i="5" s="1"/>
  <c r="O28" i="5" s="1"/>
  <c r="N38" i="5"/>
  <c r="D38" i="5"/>
  <c r="M38" i="5" s="1"/>
  <c r="N10" i="5"/>
  <c r="N37" i="5"/>
  <c r="I37" i="5"/>
  <c r="N40" i="5"/>
  <c r="J40" i="5"/>
  <c r="G13" i="2"/>
  <c r="F13" i="2"/>
  <c r="B13" i="2"/>
  <c r="G5" i="2"/>
  <c r="F5" i="2"/>
  <c r="C5" i="2"/>
  <c r="G15" i="2"/>
  <c r="F15" i="2"/>
  <c r="C15" i="2"/>
  <c r="G14" i="2"/>
  <c r="F14" i="2"/>
  <c r="C14" i="2"/>
  <c r="B5" i="2"/>
  <c r="G4" i="2"/>
  <c r="F4" i="2"/>
  <c r="C4" i="2"/>
  <c r="G12" i="2"/>
  <c r="F12" i="2"/>
  <c r="B12" i="2"/>
  <c r="L12" i="2"/>
  <c r="C13" i="2"/>
  <c r="E15" i="2"/>
  <c r="B4" i="2"/>
  <c r="N14" i="2"/>
  <c r="K15" i="2"/>
  <c r="N15" i="2"/>
  <c r="M15" i="2"/>
  <c r="B15" i="2"/>
  <c r="L15" i="2" s="1"/>
  <c r="L4" i="2"/>
  <c r="N13" i="2"/>
  <c r="I13" i="2"/>
  <c r="N5" i="2"/>
  <c r="J5" i="2"/>
  <c r="H5" i="2"/>
  <c r="M5" i="2"/>
  <c r="E5" i="2"/>
  <c r="N4" i="2"/>
  <c r="J4" i="2"/>
  <c r="M4" i="2"/>
  <c r="N12" i="2"/>
  <c r="I12" i="2"/>
  <c r="G11" i="8"/>
  <c r="F11" i="8"/>
  <c r="B11" i="8"/>
  <c r="G7" i="8"/>
  <c r="F7" i="8"/>
  <c r="C7" i="8"/>
  <c r="G19" i="8"/>
  <c r="F19" i="8"/>
  <c r="C19" i="8"/>
  <c r="H19" i="8"/>
  <c r="B20" i="8"/>
  <c r="B7" i="8"/>
  <c r="B19" i="8"/>
  <c r="C11" i="8"/>
  <c r="J10" i="8"/>
  <c r="O10" i="8"/>
  <c r="M10" i="8"/>
  <c r="N11" i="8"/>
  <c r="I11" i="8"/>
  <c r="N19" i="8"/>
  <c r="M19" i="8"/>
  <c r="O19" i="8" s="1"/>
  <c r="N7" i="8"/>
  <c r="K21" i="8"/>
  <c r="G24" i="4"/>
  <c r="F24" i="4"/>
  <c r="C24" i="4"/>
  <c r="G6" i="4"/>
  <c r="F6" i="4"/>
  <c r="B6" i="4"/>
  <c r="G10" i="4"/>
  <c r="F10" i="4"/>
  <c r="C10" i="4"/>
  <c r="G33" i="4"/>
  <c r="F33" i="4"/>
  <c r="C33" i="4"/>
  <c r="B24" i="4"/>
  <c r="G9" i="4"/>
  <c r="F9" i="4"/>
  <c r="C9" i="4"/>
  <c r="E9" i="4" s="1"/>
  <c r="B10" i="4"/>
  <c r="B33" i="4"/>
  <c r="N9" i="4"/>
  <c r="L9" i="4"/>
  <c r="D9" i="4"/>
  <c r="M9" i="4" s="1"/>
  <c r="B9" i="4"/>
  <c r="N24" i="4"/>
  <c r="J24" i="4"/>
  <c r="N10" i="4"/>
  <c r="N6" i="4"/>
  <c r="I6" i="4"/>
  <c r="N33" i="4"/>
  <c r="K33" i="4"/>
  <c r="G16" i="5"/>
  <c r="F16" i="5"/>
  <c r="B16" i="5"/>
  <c r="G5" i="5"/>
  <c r="F5" i="5"/>
  <c r="C5" i="5"/>
  <c r="B5" i="5"/>
  <c r="G8" i="5"/>
  <c r="F8" i="5"/>
  <c r="C8" i="5"/>
  <c r="G4" i="5"/>
  <c r="F4" i="5"/>
  <c r="C4" i="5"/>
  <c r="G59" i="5"/>
  <c r="F59" i="5"/>
  <c r="B59" i="5"/>
  <c r="B4" i="5"/>
  <c r="C16" i="5"/>
  <c r="N8" i="5"/>
  <c r="K8" i="5"/>
  <c r="N59" i="5"/>
  <c r="I59" i="5"/>
  <c r="N16" i="5"/>
  <c r="I16" i="5"/>
  <c r="N5" i="5"/>
  <c r="J5" i="5"/>
  <c r="N4" i="5"/>
  <c r="J4" i="5"/>
  <c r="G8" i="4"/>
  <c r="F8" i="4"/>
  <c r="C8" i="4"/>
  <c r="G25" i="4"/>
  <c r="F25" i="4"/>
  <c r="B25" i="4"/>
  <c r="N11" i="4"/>
  <c r="B8" i="4"/>
  <c r="G61" i="4"/>
  <c r="F61" i="4"/>
  <c r="C61" i="4"/>
  <c r="G63" i="4"/>
  <c r="F63" i="4"/>
  <c r="C63" i="4"/>
  <c r="B61" i="4"/>
  <c r="G35" i="4"/>
  <c r="F35" i="4"/>
  <c r="C35" i="4"/>
  <c r="G14" i="4"/>
  <c r="F14" i="4"/>
  <c r="C14" i="4"/>
  <c r="G48" i="4"/>
  <c r="F48" i="4"/>
  <c r="B48" i="4"/>
  <c r="B14" i="4"/>
  <c r="G41" i="4"/>
  <c r="F41" i="4"/>
  <c r="C41" i="4"/>
  <c r="G44" i="4"/>
  <c r="F44" i="4"/>
  <c r="C44" i="4"/>
  <c r="G19" i="4"/>
  <c r="F19" i="4"/>
  <c r="C19" i="4"/>
  <c r="B41" i="4"/>
  <c r="B19" i="4"/>
  <c r="B44" i="4"/>
  <c r="C25" i="4"/>
  <c r="N44" i="4"/>
  <c r="K44" i="4"/>
  <c r="N61" i="4"/>
  <c r="N48" i="4"/>
  <c r="I48" i="4"/>
  <c r="N41" i="4"/>
  <c r="N25" i="4"/>
  <c r="I25" i="4"/>
  <c r="N63" i="4"/>
  <c r="K63" i="4"/>
  <c r="N19" i="4"/>
  <c r="M19" i="4"/>
  <c r="L19" i="4"/>
  <c r="D19" i="4"/>
  <c r="N14" i="4"/>
  <c r="J14" i="4"/>
  <c r="N35" i="4"/>
  <c r="N8" i="4"/>
  <c r="J8" i="4"/>
  <c r="G31" i="4"/>
  <c r="G32" i="4"/>
  <c r="F31" i="4"/>
  <c r="F32" i="4"/>
  <c r="C31" i="4"/>
  <c r="C32" i="4"/>
  <c r="G11" i="4"/>
  <c r="F11" i="4"/>
  <c r="C11" i="4"/>
  <c r="G34" i="4"/>
  <c r="F34" i="4"/>
  <c r="C34" i="4"/>
  <c r="B11" i="4"/>
  <c r="C43" i="4"/>
  <c r="J11" i="4"/>
  <c r="N32" i="4"/>
  <c r="K32" i="4"/>
  <c r="N34" i="4"/>
  <c r="G46" i="3"/>
  <c r="F46" i="3"/>
  <c r="C46" i="3"/>
  <c r="G34" i="3"/>
  <c r="F34" i="3"/>
  <c r="B34" i="3"/>
  <c r="B46" i="3"/>
  <c r="G25" i="3"/>
  <c r="F25" i="3"/>
  <c r="C25" i="3"/>
  <c r="G47" i="3"/>
  <c r="F47" i="3"/>
  <c r="C47" i="3"/>
  <c r="G10" i="3"/>
  <c r="F10" i="3"/>
  <c r="H10" i="3" s="1"/>
  <c r="C10" i="3"/>
  <c r="E10" i="3" s="1"/>
  <c r="G44" i="3"/>
  <c r="F44" i="3"/>
  <c r="B44" i="3"/>
  <c r="G15" i="3"/>
  <c r="F15" i="3"/>
  <c r="C15" i="3"/>
  <c r="G6" i="3"/>
  <c r="F6" i="3"/>
  <c r="B6" i="3"/>
  <c r="B15" i="3"/>
  <c r="C44" i="3"/>
  <c r="B10" i="3"/>
  <c r="C34" i="3"/>
  <c r="B25" i="3"/>
  <c r="N47" i="3"/>
  <c r="N6" i="3"/>
  <c r="I6" i="3"/>
  <c r="N15" i="3"/>
  <c r="J15" i="3"/>
  <c r="N34" i="3"/>
  <c r="I34" i="3"/>
  <c r="N44" i="3"/>
  <c r="I44" i="3"/>
  <c r="J10" i="3"/>
  <c r="N10" i="3"/>
  <c r="D10" i="3"/>
  <c r="M10" i="3" s="1"/>
  <c r="L10" i="3"/>
  <c r="O10" i="3" s="1"/>
  <c r="N46" i="3"/>
  <c r="J46" i="3"/>
  <c r="N25" i="3"/>
  <c r="K25" i="3"/>
  <c r="G10" i="2"/>
  <c r="F10" i="2"/>
  <c r="C10" i="2"/>
  <c r="G3" i="2"/>
  <c r="F3" i="2"/>
  <c r="C3" i="2"/>
  <c r="B10" i="2"/>
  <c r="G9" i="2"/>
  <c r="F9" i="2"/>
  <c r="B9" i="2"/>
  <c r="L9" i="2" s="1"/>
  <c r="D9" i="2"/>
  <c r="D12" i="2"/>
  <c r="M12" i="2" s="1"/>
  <c r="J13" i="2"/>
  <c r="N3" i="2"/>
  <c r="K3" i="2"/>
  <c r="N9" i="2"/>
  <c r="M9" i="2"/>
  <c r="I9" i="2"/>
  <c r="C9" i="2"/>
  <c r="C12" i="2"/>
  <c r="N10" i="2"/>
  <c r="J10" i="2"/>
  <c r="G8" i="8"/>
  <c r="F8" i="8"/>
  <c r="C8" i="8"/>
  <c r="G18" i="8"/>
  <c r="F18" i="8"/>
  <c r="B18" i="8"/>
  <c r="G5" i="8"/>
  <c r="F5" i="8"/>
  <c r="C5" i="8"/>
  <c r="B8" i="8"/>
  <c r="C18" i="8"/>
  <c r="N8" i="8"/>
  <c r="K8" i="8"/>
  <c r="I13" i="8"/>
  <c r="N18" i="8"/>
  <c r="J18" i="8"/>
  <c r="N5" i="8"/>
  <c r="G55" i="4"/>
  <c r="F55" i="4"/>
  <c r="B55" i="4"/>
  <c r="D10" i="4"/>
  <c r="D55" i="4"/>
  <c r="K10" i="4"/>
  <c r="N55" i="4"/>
  <c r="I55" i="4"/>
  <c r="G22" i="7"/>
  <c r="F22" i="7"/>
  <c r="B22" i="7"/>
  <c r="L22" i="7" s="1"/>
  <c r="C10" i="7"/>
  <c r="G18" i="7"/>
  <c r="F18" i="7"/>
  <c r="C18" i="7"/>
  <c r="J10" i="7"/>
  <c r="K18" i="7"/>
  <c r="N18" i="7"/>
  <c r="D18" i="7"/>
  <c r="M18" i="7" s="1"/>
  <c r="B18" i="7"/>
  <c r="L18" i="7" s="1"/>
  <c r="I22" i="7"/>
  <c r="C22" i="7"/>
  <c r="N22" i="7"/>
  <c r="D22" i="7"/>
  <c r="M22" i="7" s="1"/>
  <c r="G41" i="6"/>
  <c r="F41" i="6"/>
  <c r="B41" i="6"/>
  <c r="G24" i="6"/>
  <c r="F24" i="6"/>
  <c r="C24" i="6"/>
  <c r="G31" i="6"/>
  <c r="F31" i="6"/>
  <c r="C31" i="6"/>
  <c r="C41" i="6"/>
  <c r="B24" i="6"/>
  <c r="N31" i="6"/>
  <c r="N37" i="6"/>
  <c r="J37" i="6"/>
  <c r="N41" i="6"/>
  <c r="I41" i="6"/>
  <c r="N24" i="6"/>
  <c r="K24" i="6"/>
  <c r="B63" i="4"/>
  <c r="G3" i="4"/>
  <c r="F3" i="4"/>
  <c r="C3" i="4"/>
  <c r="B3" i="4"/>
  <c r="L3" i="4" s="1"/>
  <c r="K3" i="4"/>
  <c r="N3" i="4"/>
  <c r="D3" i="4"/>
  <c r="M3" i="4" s="1"/>
  <c r="J33" i="4"/>
  <c r="I63" i="4"/>
  <c r="G4" i="3"/>
  <c r="F4" i="3"/>
  <c r="H4" i="3" s="1"/>
  <c r="C4" i="3"/>
  <c r="B4" i="3"/>
  <c r="G49" i="3"/>
  <c r="F49" i="3"/>
  <c r="C49" i="3"/>
  <c r="B49" i="3"/>
  <c r="L49" i="3" s="1"/>
  <c r="N49" i="3"/>
  <c r="D49" i="3"/>
  <c r="M49" i="3" s="1"/>
  <c r="J41" i="3"/>
  <c r="N4" i="3"/>
  <c r="J4" i="3"/>
  <c r="I9" i="3"/>
  <c r="K47" i="3"/>
  <c r="G12" i="8"/>
  <c r="F12" i="8"/>
  <c r="C12" i="8"/>
  <c r="G16" i="8"/>
  <c r="F16" i="8"/>
  <c r="C16" i="8"/>
  <c r="B12" i="8"/>
  <c r="B16" i="8"/>
  <c r="L16" i="8" s="1"/>
  <c r="N16" i="8"/>
  <c r="K16" i="8"/>
  <c r="M16" i="8"/>
  <c r="N12" i="8"/>
  <c r="J21" i="8"/>
  <c r="I18" i="8"/>
  <c r="G3" i="9"/>
  <c r="F3" i="9"/>
  <c r="B3" i="9"/>
  <c r="G5" i="9"/>
  <c r="F5" i="9"/>
  <c r="C5" i="9"/>
  <c r="G7" i="9"/>
  <c r="F7" i="9"/>
  <c r="C7" i="9"/>
  <c r="H5" i="9"/>
  <c r="B5" i="9"/>
  <c r="L5" i="9" s="1"/>
  <c r="O5" i="9" s="1"/>
  <c r="B7" i="9"/>
  <c r="L7" i="9" s="1"/>
  <c r="C3" i="9"/>
  <c r="K7" i="9"/>
  <c r="N7" i="9"/>
  <c r="M7" i="9"/>
  <c r="J5" i="9"/>
  <c r="N5" i="9"/>
  <c r="M5" i="9"/>
  <c r="N8" i="9"/>
  <c r="N6" i="9"/>
  <c r="N4" i="9"/>
  <c r="K6" i="9"/>
  <c r="I8" i="9"/>
  <c r="C8" i="9"/>
  <c r="C6" i="9"/>
  <c r="C4" i="9"/>
  <c r="B8" i="9"/>
  <c r="B6" i="9"/>
  <c r="B4" i="9"/>
  <c r="J3" i="9"/>
  <c r="N3" i="9"/>
  <c r="I3" i="9"/>
  <c r="G43" i="6"/>
  <c r="F43" i="6"/>
  <c r="C43" i="6"/>
  <c r="G46" i="6"/>
  <c r="F46" i="6"/>
  <c r="C46" i="6"/>
  <c r="B43" i="6"/>
  <c r="E43" i="6" s="1"/>
  <c r="N46" i="6"/>
  <c r="J34" i="6"/>
  <c r="K25" i="6"/>
  <c r="N43" i="6"/>
  <c r="M43" i="6"/>
  <c r="L43" i="6"/>
  <c r="I15" i="6"/>
  <c r="G62" i="4"/>
  <c r="F62" i="4"/>
  <c r="B62" i="4"/>
  <c r="L62" i="4" s="1"/>
  <c r="I62" i="4"/>
  <c r="C62" i="4"/>
  <c r="N62" i="4"/>
  <c r="D62" i="4"/>
  <c r="M62" i="4" s="1"/>
  <c r="K61" i="4"/>
  <c r="E6" i="8" l="1"/>
  <c r="O14" i="6"/>
  <c r="O43" i="6"/>
  <c r="E14" i="6"/>
  <c r="H23" i="4"/>
  <c r="O9" i="4"/>
  <c r="H20" i="7"/>
  <c r="E5" i="7"/>
  <c r="H28" i="7"/>
  <c r="E34" i="7"/>
  <c r="H34" i="7"/>
  <c r="O34" i="7"/>
  <c r="E17" i="7"/>
  <c r="O28" i="7"/>
  <c r="H17" i="7"/>
  <c r="E18" i="7"/>
  <c r="O18" i="7"/>
  <c r="O17" i="7"/>
  <c r="H22" i="7"/>
  <c r="E38" i="5"/>
  <c r="H38" i="5"/>
  <c r="O38" i="5"/>
  <c r="H15" i="2"/>
  <c r="O15" i="2"/>
  <c r="H4" i="2"/>
  <c r="O4" i="2"/>
  <c r="L5" i="2"/>
  <c r="O5" i="2" s="1"/>
  <c r="E4" i="2"/>
  <c r="E10" i="8"/>
  <c r="E19" i="8"/>
  <c r="H9" i="4"/>
  <c r="E3" i="4"/>
  <c r="E19" i="4"/>
  <c r="O19" i="4"/>
  <c r="H19" i="4"/>
  <c r="E49" i="3"/>
  <c r="O49" i="3"/>
  <c r="H9" i="2"/>
  <c r="O9" i="2"/>
  <c r="O12" i="2"/>
  <c r="E9" i="2"/>
  <c r="E12" i="2"/>
  <c r="H12" i="2"/>
  <c r="H18" i="7"/>
  <c r="O22" i="7"/>
  <c r="E22" i="7"/>
  <c r="H3" i="4"/>
  <c r="O3" i="4"/>
  <c r="H49" i="3"/>
  <c r="H16" i="8"/>
  <c r="E16" i="8"/>
  <c r="E5" i="9"/>
  <c r="H62" i="4"/>
  <c r="O7" i="9"/>
  <c r="O16" i="8"/>
  <c r="H7" i="9"/>
  <c r="E7" i="9"/>
  <c r="H43" i="6"/>
  <c r="E62" i="4"/>
  <c r="O62" i="4"/>
  <c r="G3" i="7"/>
  <c r="F3" i="7"/>
  <c r="C3" i="7"/>
  <c r="G29" i="7"/>
  <c r="F29" i="7"/>
  <c r="B29" i="7"/>
  <c r="B3" i="7"/>
  <c r="G41" i="7"/>
  <c r="F41" i="7"/>
  <c r="C41" i="7"/>
  <c r="G23" i="7"/>
  <c r="F23" i="7"/>
  <c r="C23" i="7"/>
  <c r="G33" i="7"/>
  <c r="F33" i="7"/>
  <c r="C33" i="7"/>
  <c r="B41" i="7"/>
  <c r="L41" i="7" s="1"/>
  <c r="B23" i="7"/>
  <c r="L23" i="7" s="1"/>
  <c r="K23" i="7"/>
  <c r="N23" i="7"/>
  <c r="D23" i="7"/>
  <c r="M23" i="7" s="1"/>
  <c r="N41" i="7"/>
  <c r="D41" i="7"/>
  <c r="M41" i="7" s="1"/>
  <c r="I29" i="7"/>
  <c r="N29" i="7"/>
  <c r="D29" i="7"/>
  <c r="M29" i="7" s="1"/>
  <c r="C29" i="7"/>
  <c r="N3" i="7"/>
  <c r="J3" i="7"/>
  <c r="D33" i="7"/>
  <c r="M33" i="7" s="1"/>
  <c r="B33" i="7"/>
  <c r="L33" i="7" s="1"/>
  <c r="G51" i="6"/>
  <c r="F51" i="6"/>
  <c r="B51" i="6"/>
  <c r="G26" i="6"/>
  <c r="F26" i="6"/>
  <c r="C26" i="6"/>
  <c r="G37" i="6"/>
  <c r="F37" i="6"/>
  <c r="C37" i="6"/>
  <c r="B26" i="6"/>
  <c r="G19" i="6"/>
  <c r="F19" i="6"/>
  <c r="B19" i="6"/>
  <c r="G44" i="6"/>
  <c r="F44" i="6"/>
  <c r="C44" i="6"/>
  <c r="B44" i="6"/>
  <c r="C51" i="6"/>
  <c r="D19" i="6"/>
  <c r="D24" i="6"/>
  <c r="N19" i="6"/>
  <c r="I19" i="6"/>
  <c r="N44" i="6"/>
  <c r="J44" i="6"/>
  <c r="N26" i="6"/>
  <c r="J26" i="6"/>
  <c r="N51" i="6"/>
  <c r="I51" i="6"/>
  <c r="G42" i="5"/>
  <c r="F42" i="5"/>
  <c r="C42" i="5"/>
  <c r="B42" i="5"/>
  <c r="C59" i="5"/>
  <c r="N42" i="5"/>
  <c r="J42" i="5"/>
  <c r="K5" i="5"/>
  <c r="D5" i="5"/>
  <c r="M5" i="5" s="1"/>
  <c r="L5" i="5"/>
  <c r="I33" i="5"/>
  <c r="G49" i="4"/>
  <c r="F49" i="4"/>
  <c r="B49" i="4"/>
  <c r="G18" i="4"/>
  <c r="F18" i="4"/>
  <c r="C18" i="4"/>
  <c r="G39" i="4"/>
  <c r="F39" i="4"/>
  <c r="B39" i="4"/>
  <c r="C48" i="4"/>
  <c r="G50" i="4"/>
  <c r="F50" i="4"/>
  <c r="C50" i="4"/>
  <c r="B50" i="4"/>
  <c r="L50" i="4" s="1"/>
  <c r="B18" i="4"/>
  <c r="L14" i="4"/>
  <c r="C39" i="4"/>
  <c r="J50" i="4"/>
  <c r="N50" i="4"/>
  <c r="D50" i="4"/>
  <c r="M50" i="4" s="1"/>
  <c r="N18" i="4"/>
  <c r="K18" i="4"/>
  <c r="I56" i="4"/>
  <c r="J48" i="4"/>
  <c r="K14" i="4"/>
  <c r="D14" i="4"/>
  <c r="M14" i="4" s="1"/>
  <c r="D63" i="4"/>
  <c r="I8" i="4"/>
  <c r="N39" i="4"/>
  <c r="J39" i="4"/>
  <c r="N49" i="4"/>
  <c r="I49" i="4"/>
  <c r="G17" i="3"/>
  <c r="F17" i="3"/>
  <c r="C17" i="3"/>
  <c r="G40" i="3"/>
  <c r="F40" i="3"/>
  <c r="B40" i="3"/>
  <c r="B17" i="3"/>
  <c r="L17" i="3" s="1"/>
  <c r="D17" i="3"/>
  <c r="M17" i="3" s="1"/>
  <c r="D25" i="3"/>
  <c r="C40" i="3"/>
  <c r="J17" i="3"/>
  <c r="N17" i="3"/>
  <c r="N40" i="3"/>
  <c r="I40" i="3"/>
  <c r="K41" i="3"/>
  <c r="B3" i="2"/>
  <c r="G7" i="2"/>
  <c r="F7" i="2"/>
  <c r="B7" i="2"/>
  <c r="B14" i="2"/>
  <c r="N7" i="2"/>
  <c r="M7" i="2"/>
  <c r="L7" i="2"/>
  <c r="I7" i="2"/>
  <c r="C7" i="2"/>
  <c r="I3" i="2"/>
  <c r="J14" i="2"/>
  <c r="G14" i="8"/>
  <c r="F14" i="8"/>
  <c r="B14" i="8"/>
  <c r="G17" i="8"/>
  <c r="F17" i="8"/>
  <c r="C17" i="8"/>
  <c r="B17" i="8"/>
  <c r="L17" i="8" s="1"/>
  <c r="G15" i="8"/>
  <c r="F15" i="8"/>
  <c r="C15" i="8"/>
  <c r="C14" i="8"/>
  <c r="B5" i="8"/>
  <c r="D14" i="8"/>
  <c r="M14" i="8" s="1"/>
  <c r="D13" i="8"/>
  <c r="I14" i="8"/>
  <c r="N14" i="8"/>
  <c r="L14" i="8"/>
  <c r="J5" i="8"/>
  <c r="K13" i="8"/>
  <c r="J17" i="8"/>
  <c r="N17" i="8"/>
  <c r="M17" i="8"/>
  <c r="K20" i="8"/>
  <c r="N15" i="8"/>
  <c r="G50" i="6"/>
  <c r="F50" i="6"/>
  <c r="C50" i="6"/>
  <c r="G18" i="6"/>
  <c r="F18" i="6"/>
  <c r="C18" i="6"/>
  <c r="B50" i="6"/>
  <c r="B18" i="6"/>
  <c r="N50" i="6"/>
  <c r="J50" i="6"/>
  <c r="D50" i="6"/>
  <c r="M50" i="6" s="1"/>
  <c r="I38" i="6"/>
  <c r="N4" i="6"/>
  <c r="N18" i="6"/>
  <c r="K18" i="6"/>
  <c r="G22" i="5"/>
  <c r="F22" i="5"/>
  <c r="B22" i="5"/>
  <c r="C22" i="5"/>
  <c r="G9" i="5"/>
  <c r="F9" i="5"/>
  <c r="C9" i="5"/>
  <c r="C48" i="5"/>
  <c r="G62" i="5"/>
  <c r="F62" i="5"/>
  <c r="C62" i="5"/>
  <c r="B9" i="5"/>
  <c r="N22" i="5"/>
  <c r="I22" i="5"/>
  <c r="K48" i="5"/>
  <c r="N62" i="5"/>
  <c r="N9" i="5"/>
  <c r="J9" i="5"/>
  <c r="G53" i="4"/>
  <c r="F53" i="4"/>
  <c r="B53" i="4"/>
  <c r="N53" i="4"/>
  <c r="I53" i="4"/>
  <c r="K11" i="6"/>
  <c r="K31" i="6"/>
  <c r="J24" i="6"/>
  <c r="J41" i="6"/>
  <c r="I3" i="6"/>
  <c r="G3" i="6"/>
  <c r="F3" i="6"/>
  <c r="B3" i="6"/>
  <c r="G11" i="6"/>
  <c r="F11" i="6"/>
  <c r="C11" i="6"/>
  <c r="G4" i="6"/>
  <c r="F4" i="6"/>
  <c r="C4" i="6"/>
  <c r="B37" i="6"/>
  <c r="B11" i="6"/>
  <c r="C3" i="6"/>
  <c r="B4" i="6"/>
  <c r="H11" i="6"/>
  <c r="N11" i="6"/>
  <c r="M11" i="6"/>
  <c r="N3" i="6"/>
  <c r="J5" i="4"/>
  <c r="J49" i="4"/>
  <c r="K25" i="4"/>
  <c r="K58" i="4"/>
  <c r="G5" i="4"/>
  <c r="F5" i="4"/>
  <c r="C5" i="4"/>
  <c r="B5" i="4"/>
  <c r="C49" i="4"/>
  <c r="G58" i="4"/>
  <c r="F58" i="4"/>
  <c r="C58" i="4"/>
  <c r="C55" i="4"/>
  <c r="B58" i="4"/>
  <c r="N5" i="4"/>
  <c r="N58" i="4"/>
  <c r="K13" i="5"/>
  <c r="J7" i="5"/>
  <c r="G7" i="5"/>
  <c r="F7" i="5"/>
  <c r="C7" i="5"/>
  <c r="G13" i="5"/>
  <c r="F13" i="5"/>
  <c r="C13" i="5"/>
  <c r="B7" i="5"/>
  <c r="B13" i="5"/>
  <c r="N7" i="5"/>
  <c r="N13" i="5"/>
  <c r="J44" i="3"/>
  <c r="I37" i="3"/>
  <c r="J33" i="3"/>
  <c r="K9" i="3"/>
  <c r="G33" i="3"/>
  <c r="H33" i="3" s="1"/>
  <c r="F33" i="3"/>
  <c r="C33" i="3"/>
  <c r="G37" i="3"/>
  <c r="F37" i="3"/>
  <c r="B37" i="3"/>
  <c r="B33" i="3"/>
  <c r="L33" i="3" s="1"/>
  <c r="G8" i="3"/>
  <c r="F8" i="3"/>
  <c r="C8" i="3"/>
  <c r="B8" i="3"/>
  <c r="C37" i="3"/>
  <c r="H9" i="3"/>
  <c r="B50" i="3"/>
  <c r="N37" i="3"/>
  <c r="D50" i="3"/>
  <c r="M50" i="3" s="1"/>
  <c r="N8" i="3"/>
  <c r="N33" i="3"/>
  <c r="D33" i="3"/>
  <c r="M33" i="3" s="1"/>
  <c r="K8" i="2"/>
  <c r="G8" i="2"/>
  <c r="F8" i="2"/>
  <c r="C8" i="2"/>
  <c r="B8" i="2"/>
  <c r="N8" i="2"/>
  <c r="K34" i="6"/>
  <c r="J6" i="6"/>
  <c r="G6" i="6"/>
  <c r="F6" i="6"/>
  <c r="C6" i="6"/>
  <c r="H34" i="6"/>
  <c r="D15" i="6"/>
  <c r="D6" i="6"/>
  <c r="M6" i="6" s="1"/>
  <c r="B6" i="6"/>
  <c r="N6" i="6"/>
  <c r="L6" i="6"/>
  <c r="M34" i="6"/>
  <c r="L34" i="6"/>
  <c r="O34" i="6" s="1"/>
  <c r="J49" i="5"/>
  <c r="K11" i="5"/>
  <c r="I14" i="5"/>
  <c r="G14" i="5"/>
  <c r="F14" i="5"/>
  <c r="B14" i="5"/>
  <c r="G49" i="5"/>
  <c r="F49" i="5"/>
  <c r="C49" i="5"/>
  <c r="B49" i="5"/>
  <c r="L49" i="5" s="1"/>
  <c r="G11" i="5"/>
  <c r="F11" i="5"/>
  <c r="C11" i="5"/>
  <c r="B11" i="5"/>
  <c r="L11" i="5" s="1"/>
  <c r="N11" i="5"/>
  <c r="D11" i="5"/>
  <c r="M11" i="5" s="1"/>
  <c r="N14" i="5"/>
  <c r="N49" i="5"/>
  <c r="D49" i="5"/>
  <c r="M49" i="5" s="1"/>
  <c r="H50" i="6" l="1"/>
  <c r="H11" i="5"/>
  <c r="H14" i="8"/>
  <c r="H17" i="8"/>
  <c r="O14" i="4"/>
  <c r="H17" i="3"/>
  <c r="H23" i="7"/>
  <c r="H14" i="4"/>
  <c r="E14" i="8"/>
  <c r="O50" i="4"/>
  <c r="H5" i="5"/>
  <c r="H41" i="7"/>
  <c r="O23" i="7"/>
  <c r="E23" i="7"/>
  <c r="H29" i="7"/>
  <c r="O41" i="7"/>
  <c r="E29" i="7"/>
  <c r="E41" i="7"/>
  <c r="H33" i="7"/>
  <c r="E33" i="7"/>
  <c r="L29" i="7"/>
  <c r="O29" i="7" s="1"/>
  <c r="O33" i="7"/>
  <c r="E5" i="5"/>
  <c r="O5" i="5"/>
  <c r="H50" i="4"/>
  <c r="E50" i="4"/>
  <c r="E14" i="4"/>
  <c r="E17" i="3"/>
  <c r="O17" i="3"/>
  <c r="H7" i="2"/>
  <c r="O7" i="2"/>
  <c r="E7" i="2"/>
  <c r="O14" i="8"/>
  <c r="O17" i="8"/>
  <c r="E17" i="8"/>
  <c r="E50" i="6"/>
  <c r="L50" i="6"/>
  <c r="O50" i="6" s="1"/>
  <c r="E11" i="6"/>
  <c r="H6" i="6"/>
  <c r="L11" i="6"/>
  <c r="O11" i="6" s="1"/>
  <c r="O33" i="3"/>
  <c r="E11" i="5"/>
  <c r="E34" i="6"/>
  <c r="E33" i="3"/>
  <c r="H50" i="3"/>
  <c r="E50" i="3"/>
  <c r="L50" i="3"/>
  <c r="O50" i="3" s="1"/>
  <c r="E6" i="6"/>
  <c r="O6" i="6"/>
  <c r="H49" i="5"/>
  <c r="O11" i="5"/>
  <c r="O49" i="5"/>
  <c r="E49" i="5"/>
  <c r="J13" i="4"/>
  <c r="K43" i="4"/>
  <c r="I42" i="4"/>
  <c r="I22" i="4"/>
  <c r="G22" i="4"/>
  <c r="F22" i="4"/>
  <c r="B22" i="4"/>
  <c r="L22" i="4" s="1"/>
  <c r="G13" i="4"/>
  <c r="F13" i="4"/>
  <c r="C13" i="4"/>
  <c r="B13" i="4"/>
  <c r="L13" i="4" s="1"/>
  <c r="H49" i="4"/>
  <c r="L49" i="4"/>
  <c r="B34" i="4"/>
  <c r="C22" i="4"/>
  <c r="N13" i="4"/>
  <c r="D13" i="4"/>
  <c r="M13" i="4" s="1"/>
  <c r="D49" i="4"/>
  <c r="M49" i="4" s="1"/>
  <c r="N22" i="4"/>
  <c r="D22" i="4"/>
  <c r="M22" i="4" s="1"/>
  <c r="E13" i="4" l="1"/>
  <c r="O13" i="4"/>
  <c r="E49" i="4"/>
  <c r="H13" i="4"/>
  <c r="O49" i="4"/>
  <c r="H22" i="4"/>
  <c r="E22" i="4"/>
  <c r="O22" i="4"/>
  <c r="K3" i="7" l="1"/>
  <c r="I27" i="7"/>
  <c r="G27" i="7"/>
  <c r="F27" i="7"/>
  <c r="B27" i="7"/>
  <c r="L10" i="7"/>
  <c r="C27" i="7"/>
  <c r="D3" i="7"/>
  <c r="M3" i="7" s="1"/>
  <c r="L3" i="7"/>
  <c r="D10" i="7"/>
  <c r="M10" i="7" s="1"/>
  <c r="N27" i="7"/>
  <c r="K4" i="5"/>
  <c r="J59" i="5"/>
  <c r="G53" i="5"/>
  <c r="F53" i="5"/>
  <c r="C53" i="5"/>
  <c r="L59" i="5"/>
  <c r="B53" i="5"/>
  <c r="D53" i="5"/>
  <c r="D8" i="5"/>
  <c r="D4" i="5"/>
  <c r="M4" i="5" s="1"/>
  <c r="L4" i="5"/>
  <c r="N53" i="5"/>
  <c r="D59" i="5"/>
  <c r="M59" i="5" s="1"/>
  <c r="K42" i="4"/>
  <c r="L6" i="4"/>
  <c r="C6" i="4"/>
  <c r="D6" i="4"/>
  <c r="M6" i="4" s="1"/>
  <c r="K4" i="3"/>
  <c r="G36" i="3"/>
  <c r="F36" i="3"/>
  <c r="C36" i="3"/>
  <c r="L41" i="3"/>
  <c r="L15" i="3"/>
  <c r="N36" i="3"/>
  <c r="D36" i="3"/>
  <c r="M36" i="3" s="1"/>
  <c r="B36" i="3"/>
  <c r="L36" i="3" s="1"/>
  <c r="D41" i="3"/>
  <c r="M41" i="3" s="1"/>
  <c r="D15" i="3"/>
  <c r="M15" i="3" s="1"/>
  <c r="K26" i="6"/>
  <c r="J15" i="6"/>
  <c r="L26" i="6"/>
  <c r="M26" i="6"/>
  <c r="M46" i="6"/>
  <c r="B46" i="6"/>
  <c r="L46" i="6" s="1"/>
  <c r="K20" i="7"/>
  <c r="J24" i="7"/>
  <c r="I30" i="7"/>
  <c r="G24" i="7"/>
  <c r="F24" i="7"/>
  <c r="B24" i="7"/>
  <c r="L24" i="7" s="1"/>
  <c r="C24" i="7"/>
  <c r="G30" i="7"/>
  <c r="F30" i="7"/>
  <c r="B30" i="7"/>
  <c r="C20" i="7"/>
  <c r="G43" i="7"/>
  <c r="F43" i="7"/>
  <c r="C43" i="7"/>
  <c r="N43" i="7"/>
  <c r="D43" i="7"/>
  <c r="M43" i="7" s="1"/>
  <c r="B43" i="7"/>
  <c r="L43" i="7" s="1"/>
  <c r="N24" i="7"/>
  <c r="D24" i="7"/>
  <c r="M24" i="7" s="1"/>
  <c r="N30" i="7"/>
  <c r="K7" i="8"/>
  <c r="I12" i="8"/>
  <c r="J13" i="8"/>
  <c r="K16" i="5"/>
  <c r="I42" i="5"/>
  <c r="J37" i="5"/>
  <c r="C37" i="5"/>
  <c r="L42" i="5"/>
  <c r="G54" i="5"/>
  <c r="F54" i="5"/>
  <c r="C54" i="5"/>
  <c r="G24" i="5"/>
  <c r="F24" i="5"/>
  <c r="C24" i="5"/>
  <c r="B54" i="5"/>
  <c r="G36" i="5"/>
  <c r="F36" i="5"/>
  <c r="C36" i="5"/>
  <c r="B36" i="5"/>
  <c r="L36" i="5" s="1"/>
  <c r="N54" i="5"/>
  <c r="D42" i="5"/>
  <c r="M42" i="5" s="1"/>
  <c r="D36" i="5"/>
  <c r="M36" i="5" s="1"/>
  <c r="N24" i="5"/>
  <c r="K8" i="3"/>
  <c r="I39" i="3"/>
  <c r="J34" i="3"/>
  <c r="G39" i="3"/>
  <c r="F39" i="3"/>
  <c r="B39" i="3"/>
  <c r="L39" i="3" s="1"/>
  <c r="L34" i="3"/>
  <c r="G13" i="3"/>
  <c r="F13" i="3"/>
  <c r="C13" i="3"/>
  <c r="G38" i="3"/>
  <c r="F38" i="3"/>
  <c r="C38" i="3"/>
  <c r="L8" i="3"/>
  <c r="B13" i="3"/>
  <c r="L13" i="3" s="1"/>
  <c r="N39" i="3"/>
  <c r="D39" i="3"/>
  <c r="M39" i="3" s="1"/>
  <c r="C39" i="3"/>
  <c r="N13" i="3"/>
  <c r="D13" i="3"/>
  <c r="M13" i="3" s="1"/>
  <c r="D34" i="3"/>
  <c r="M34" i="3" s="1"/>
  <c r="N38" i="3"/>
  <c r="D38" i="3"/>
  <c r="M38" i="3" s="1"/>
  <c r="B38" i="3"/>
  <c r="L38" i="3" s="1"/>
  <c r="D8" i="3"/>
  <c r="M8" i="3" s="1"/>
  <c r="J22" i="5"/>
  <c r="I9" i="5"/>
  <c r="K62" i="5"/>
  <c r="C14" i="5"/>
  <c r="B62" i="5"/>
  <c r="D14" i="5"/>
  <c r="M14" i="5" s="1"/>
  <c r="L14" i="5"/>
  <c r="O10" i="7" l="1"/>
  <c r="O36" i="3"/>
  <c r="H41" i="3"/>
  <c r="O4" i="5"/>
  <c r="E4" i="5"/>
  <c r="E3" i="7"/>
  <c r="H4" i="5"/>
  <c r="O46" i="6"/>
  <c r="E36" i="3"/>
  <c r="O3" i="7"/>
  <c r="H3" i="7"/>
  <c r="O43" i="7"/>
  <c r="E10" i="7"/>
  <c r="H10" i="7"/>
  <c r="E43" i="7"/>
  <c r="E59" i="5"/>
  <c r="H59" i="5"/>
  <c r="O59" i="5"/>
  <c r="E6" i="4"/>
  <c r="H6" i="4"/>
  <c r="O6" i="4"/>
  <c r="H36" i="3"/>
  <c r="H15" i="3"/>
  <c r="E15" i="3"/>
  <c r="E41" i="3"/>
  <c r="O41" i="3"/>
  <c r="O15" i="3"/>
  <c r="O26" i="6"/>
  <c r="H26" i="6"/>
  <c r="H46" i="6"/>
  <c r="E26" i="6"/>
  <c r="E46" i="6"/>
  <c r="H24" i="7"/>
  <c r="H43" i="7"/>
  <c r="O24" i="7"/>
  <c r="E24" i="7"/>
  <c r="O42" i="5"/>
  <c r="E42" i="5"/>
  <c r="H42" i="5"/>
  <c r="H14" i="5"/>
  <c r="O36" i="5"/>
  <c r="H36" i="5"/>
  <c r="E36" i="5"/>
  <c r="E14" i="5"/>
  <c r="O14" i="5"/>
  <c r="H39" i="3"/>
  <c r="H13" i="3"/>
  <c r="E34" i="3"/>
  <c r="O39" i="3"/>
  <c r="E39" i="3"/>
  <c r="E13" i="3"/>
  <c r="H38" i="3"/>
  <c r="O13" i="3"/>
  <c r="H34" i="3"/>
  <c r="O34" i="3"/>
  <c r="E38" i="3"/>
  <c r="O38" i="3"/>
  <c r="O8" i="3"/>
  <c r="H8" i="3"/>
  <c r="E8" i="3"/>
  <c r="K11" i="8"/>
  <c r="J9" i="8"/>
  <c r="I3" i="8"/>
  <c r="G9" i="8"/>
  <c r="F9" i="8"/>
  <c r="C9" i="8"/>
  <c r="L3" i="8"/>
  <c r="B9" i="8"/>
  <c r="L9" i="8" s="1"/>
  <c r="G4" i="8"/>
  <c r="F4" i="8"/>
  <c r="C4" i="8"/>
  <c r="B4" i="8"/>
  <c r="L4" i="8" s="1"/>
  <c r="L20" i="8"/>
  <c r="D3" i="8"/>
  <c r="M3" i="8" s="1"/>
  <c r="D8" i="8"/>
  <c r="M8" i="8" s="1"/>
  <c r="L8" i="8"/>
  <c r="M20" i="8"/>
  <c r="N9" i="8"/>
  <c r="M9" i="8"/>
  <c r="N4" i="8"/>
  <c r="M4" i="8"/>
  <c r="I34" i="5"/>
  <c r="K57" i="5"/>
  <c r="J58" i="4"/>
  <c r="K17" i="4"/>
  <c r="I15" i="4"/>
  <c r="I5" i="4"/>
  <c r="I18" i="4"/>
  <c r="J34" i="4"/>
  <c r="K35" i="4"/>
  <c r="H34" i="4"/>
  <c r="L34" i="4"/>
  <c r="G15" i="4"/>
  <c r="F15" i="4"/>
  <c r="B15" i="4"/>
  <c r="L15" i="4" s="1"/>
  <c r="G17" i="4"/>
  <c r="F17" i="4"/>
  <c r="C17" i="4"/>
  <c r="H18" i="4"/>
  <c r="C15" i="4"/>
  <c r="B17" i="4"/>
  <c r="L17" i="4" s="1"/>
  <c r="L42" i="4"/>
  <c r="N17" i="4"/>
  <c r="D17" i="4"/>
  <c r="M17" i="4" s="1"/>
  <c r="N15" i="4"/>
  <c r="D15" i="4"/>
  <c r="M15" i="4" s="1"/>
  <c r="L18" i="4"/>
  <c r="D18" i="4"/>
  <c r="M18" i="4" s="1"/>
  <c r="D34" i="4"/>
  <c r="M34" i="4" s="1"/>
  <c r="D42" i="4"/>
  <c r="M42" i="4" s="1"/>
  <c r="I53" i="5"/>
  <c r="I45" i="5"/>
  <c r="J48" i="5"/>
  <c r="J13" i="5"/>
  <c r="K37" i="5"/>
  <c r="K63" i="5"/>
  <c r="K61" i="5"/>
  <c r="K54" i="5"/>
  <c r="K51" i="5"/>
  <c r="K50" i="5"/>
  <c r="K47" i="5"/>
  <c r="K45" i="5"/>
  <c r="K41" i="5"/>
  <c r="K32" i="5"/>
  <c r="K31" i="5"/>
  <c r="K24" i="5"/>
  <c r="K21" i="5"/>
  <c r="K20" i="5"/>
  <c r="K19" i="5"/>
  <c r="K18" i="5"/>
  <c r="K9" i="5"/>
  <c r="K6" i="5"/>
  <c r="J61" i="5"/>
  <c r="J60" i="5"/>
  <c r="J58" i="5"/>
  <c r="J56" i="5"/>
  <c r="J55" i="5"/>
  <c r="J47" i="5"/>
  <c r="J45" i="5"/>
  <c r="J41" i="5"/>
  <c r="J35" i="5"/>
  <c r="J23" i="5"/>
  <c r="J21" i="5"/>
  <c r="J17" i="5"/>
  <c r="J12" i="5"/>
  <c r="J6" i="5"/>
  <c r="I63" i="5"/>
  <c r="I60" i="5"/>
  <c r="I56" i="5"/>
  <c r="I54" i="5"/>
  <c r="I50" i="5"/>
  <c r="I46" i="5"/>
  <c r="I43" i="5"/>
  <c r="I41" i="5"/>
  <c r="I40" i="5"/>
  <c r="I31" i="5"/>
  <c r="I30" i="5"/>
  <c r="I21" i="5"/>
  <c r="I20" i="5"/>
  <c r="I18" i="5"/>
  <c r="I6" i="5"/>
  <c r="I3" i="5"/>
  <c r="G45" i="5"/>
  <c r="F45" i="5"/>
  <c r="B45" i="5"/>
  <c r="L53" i="5"/>
  <c r="G27" i="5"/>
  <c r="F27" i="5"/>
  <c r="C27" i="5"/>
  <c r="L13" i="5"/>
  <c r="B27" i="5"/>
  <c r="L27" i="5" s="1"/>
  <c r="B8" i="5"/>
  <c r="L8" i="5" s="1"/>
  <c r="C45" i="5"/>
  <c r="M53" i="5"/>
  <c r="N27" i="5"/>
  <c r="D27" i="5"/>
  <c r="M27" i="5" s="1"/>
  <c r="N45" i="5"/>
  <c r="D13" i="5"/>
  <c r="M13" i="5" s="1"/>
  <c r="M8" i="5"/>
  <c r="H15" i="4" l="1"/>
  <c r="O20" i="8"/>
  <c r="E3" i="8"/>
  <c r="E9" i="8"/>
  <c r="H9" i="8"/>
  <c r="H4" i="8"/>
  <c r="E8" i="8"/>
  <c r="E20" i="8"/>
  <c r="O9" i="8"/>
  <c r="H3" i="8"/>
  <c r="O4" i="8"/>
  <c r="O3" i="8"/>
  <c r="H42" i="4"/>
  <c r="H17" i="4"/>
  <c r="E8" i="5"/>
  <c r="E27" i="5"/>
  <c r="E53" i="5"/>
  <c r="H27" i="5"/>
  <c r="O27" i="5"/>
  <c r="O8" i="5"/>
  <c r="O42" i="4"/>
  <c r="E4" i="8"/>
  <c r="H8" i="5"/>
  <c r="O53" i="5"/>
  <c r="H53" i="5"/>
  <c r="H20" i="8"/>
  <c r="H8" i="8"/>
  <c r="O8" i="8"/>
  <c r="O17" i="4"/>
  <c r="E17" i="4"/>
  <c r="O15" i="4"/>
  <c r="E15" i="4"/>
  <c r="O18" i="4"/>
  <c r="E18" i="4"/>
  <c r="O34" i="4"/>
  <c r="E34" i="4"/>
  <c r="E42" i="4"/>
  <c r="H13" i="5"/>
  <c r="O13" i="5"/>
  <c r="E13" i="5"/>
  <c r="J19" i="6"/>
  <c r="K44" i="6"/>
  <c r="C19" i="6"/>
  <c r="L37" i="6"/>
  <c r="L44" i="6"/>
  <c r="L24" i="6"/>
  <c r="M37" i="6"/>
  <c r="M24" i="6"/>
  <c r="M44" i="6"/>
  <c r="K12" i="3"/>
  <c r="K28" i="3"/>
  <c r="I43" i="3"/>
  <c r="I23" i="3"/>
  <c r="J9" i="3"/>
  <c r="I16" i="3"/>
  <c r="G16" i="3"/>
  <c r="F16" i="3"/>
  <c r="B16" i="3"/>
  <c r="L16" i="3" s="1"/>
  <c r="L46" i="3"/>
  <c r="G28" i="3"/>
  <c r="F28" i="3"/>
  <c r="C28" i="3"/>
  <c r="L44" i="3"/>
  <c r="L43" i="3"/>
  <c r="C6" i="3"/>
  <c r="L6" i="3"/>
  <c r="L23" i="3"/>
  <c r="G12" i="3"/>
  <c r="F12" i="3"/>
  <c r="C12" i="3"/>
  <c r="B28" i="3"/>
  <c r="L28" i="3" s="1"/>
  <c r="L47" i="3"/>
  <c r="N16" i="3"/>
  <c r="D16" i="3"/>
  <c r="M16" i="3" s="1"/>
  <c r="C16" i="3"/>
  <c r="N18" i="3"/>
  <c r="N12" i="3"/>
  <c r="D12" i="3"/>
  <c r="M12" i="3" s="1"/>
  <c r="B12" i="3"/>
  <c r="L12" i="3" s="1"/>
  <c r="N28" i="3"/>
  <c r="D28" i="3"/>
  <c r="M28" i="3" s="1"/>
  <c r="D23" i="3"/>
  <c r="M23" i="3" s="1"/>
  <c r="D47" i="3"/>
  <c r="M47" i="3" s="1"/>
  <c r="D46" i="3"/>
  <c r="M46" i="3" s="1"/>
  <c r="D6" i="3"/>
  <c r="M6" i="3" s="1"/>
  <c r="K12" i="8"/>
  <c r="J7" i="8"/>
  <c r="H7" i="8"/>
  <c r="H12" i="8"/>
  <c r="E7" i="8"/>
  <c r="M7" i="8"/>
  <c r="M12" i="8"/>
  <c r="L12" i="8"/>
  <c r="K30" i="7"/>
  <c r="J27" i="7"/>
  <c r="L20" i="7"/>
  <c r="L27" i="7"/>
  <c r="C30" i="7"/>
  <c r="C38" i="7"/>
  <c r="F38" i="7"/>
  <c r="G38" i="7"/>
  <c r="D27" i="7"/>
  <c r="M27" i="7" s="1"/>
  <c r="D20" i="7"/>
  <c r="M20" i="7" s="1"/>
  <c r="L38" i="6"/>
  <c r="L15" i="6"/>
  <c r="B31" i="6"/>
  <c r="L31" i="6" s="1"/>
  <c r="L18" i="6"/>
  <c r="M15" i="6"/>
  <c r="M18" i="6"/>
  <c r="I11" i="2"/>
  <c r="G11" i="2"/>
  <c r="F11" i="2"/>
  <c r="B11" i="2"/>
  <c r="L11" i="2" s="1"/>
  <c r="L13" i="2"/>
  <c r="M14" i="2"/>
  <c r="H14" i="2"/>
  <c r="L14" i="2"/>
  <c r="N11" i="2"/>
  <c r="M11" i="2"/>
  <c r="C11" i="2"/>
  <c r="J43" i="4"/>
  <c r="K8" i="4"/>
  <c r="I39" i="4"/>
  <c r="L10" i="4"/>
  <c r="L48" i="4"/>
  <c r="D48" i="4"/>
  <c r="M48" i="4" s="1"/>
  <c r="D35" i="4"/>
  <c r="M35" i="4" s="1"/>
  <c r="B35" i="4"/>
  <c r="L35" i="4" s="1"/>
  <c r="D8" i="4"/>
  <c r="M8" i="4" s="1"/>
  <c r="M10" i="4"/>
  <c r="N60" i="4"/>
  <c r="N59" i="4"/>
  <c r="N57" i="4"/>
  <c r="N56" i="4"/>
  <c r="N54" i="4"/>
  <c r="N52" i="4"/>
  <c r="N51" i="4"/>
  <c r="N47" i="4"/>
  <c r="N46" i="4"/>
  <c r="N45" i="4"/>
  <c r="N40" i="4"/>
  <c r="N38" i="4"/>
  <c r="N37" i="4"/>
  <c r="N36" i="4"/>
  <c r="N31" i="4"/>
  <c r="N30" i="4"/>
  <c r="N29" i="4"/>
  <c r="N28" i="4"/>
  <c r="N27" i="4"/>
  <c r="N26" i="4"/>
  <c r="N21" i="4"/>
  <c r="N20" i="4"/>
  <c r="N16" i="4"/>
  <c r="N12" i="4"/>
  <c r="N7" i="4"/>
  <c r="K60" i="4"/>
  <c r="K56" i="4"/>
  <c r="K55" i="4"/>
  <c r="K54" i="4"/>
  <c r="K53" i="4"/>
  <c r="K46" i="4"/>
  <c r="K41" i="4"/>
  <c r="K40" i="4"/>
  <c r="K39" i="4"/>
  <c r="K30" i="4"/>
  <c r="K7" i="4"/>
  <c r="K5" i="4"/>
  <c r="J57" i="4"/>
  <c r="J55" i="4"/>
  <c r="J52" i="4"/>
  <c r="J46" i="4"/>
  <c r="J41" i="4"/>
  <c r="J38" i="4"/>
  <c r="J29" i="4"/>
  <c r="J28" i="4"/>
  <c r="J26" i="4"/>
  <c r="J25" i="4"/>
  <c r="J12" i="4"/>
  <c r="J7" i="4"/>
  <c r="I54" i="4"/>
  <c r="I52" i="4"/>
  <c r="I47" i="4"/>
  <c r="I46" i="4"/>
  <c r="I28" i="4"/>
  <c r="I27" i="4"/>
  <c r="I24" i="4"/>
  <c r="I21" i="4"/>
  <c r="I20" i="4"/>
  <c r="I16" i="4"/>
  <c r="I12" i="4"/>
  <c r="I7" i="4"/>
  <c r="I4" i="4"/>
  <c r="D61" i="4"/>
  <c r="D60" i="4"/>
  <c r="D59" i="4"/>
  <c r="D58" i="4"/>
  <c r="D57" i="4"/>
  <c r="D56" i="4"/>
  <c r="D54" i="4"/>
  <c r="D53" i="4"/>
  <c r="D52" i="4"/>
  <c r="D51" i="4"/>
  <c r="D47" i="4"/>
  <c r="D46" i="4"/>
  <c r="D45" i="4"/>
  <c r="D44" i="4"/>
  <c r="D43" i="4"/>
  <c r="D41" i="4"/>
  <c r="D40" i="4"/>
  <c r="D39" i="4"/>
  <c r="D38" i="4"/>
  <c r="D37" i="4"/>
  <c r="D36" i="4"/>
  <c r="D33" i="4"/>
  <c r="D32" i="4"/>
  <c r="D31" i="4"/>
  <c r="D30" i="4"/>
  <c r="D29" i="4"/>
  <c r="D28" i="4"/>
  <c r="D27" i="4"/>
  <c r="D26" i="4"/>
  <c r="D25" i="4"/>
  <c r="D24" i="4"/>
  <c r="D21" i="4"/>
  <c r="D20" i="4"/>
  <c r="D16" i="4"/>
  <c r="D11" i="4"/>
  <c r="D7" i="4"/>
  <c r="D5" i="4"/>
  <c r="D4" i="4"/>
  <c r="C60" i="4"/>
  <c r="C59" i="4"/>
  <c r="C57" i="4"/>
  <c r="C56" i="4"/>
  <c r="C54" i="4"/>
  <c r="C53" i="4"/>
  <c r="C52" i="4"/>
  <c r="C51" i="4"/>
  <c r="C47" i="4"/>
  <c r="C46" i="4"/>
  <c r="C45" i="4"/>
  <c r="C40" i="4"/>
  <c r="C38" i="4"/>
  <c r="C37" i="4"/>
  <c r="C36" i="4"/>
  <c r="C30" i="4"/>
  <c r="C29" i="4"/>
  <c r="C28" i="4"/>
  <c r="C27" i="4"/>
  <c r="C26" i="4"/>
  <c r="C21" i="4"/>
  <c r="C20" i="4"/>
  <c r="C16" i="4"/>
  <c r="C12" i="4"/>
  <c r="C7" i="4"/>
  <c r="B60" i="4"/>
  <c r="B59" i="4"/>
  <c r="B57" i="4"/>
  <c r="B56" i="4"/>
  <c r="B52" i="4"/>
  <c r="B51" i="4"/>
  <c r="B47" i="4"/>
  <c r="B46" i="4"/>
  <c r="B45" i="4"/>
  <c r="B40" i="4"/>
  <c r="B38" i="4"/>
  <c r="B37" i="4"/>
  <c r="B36" i="4"/>
  <c r="B32" i="4"/>
  <c r="B31" i="4"/>
  <c r="B30" i="4"/>
  <c r="B29" i="4"/>
  <c r="B28" i="4"/>
  <c r="B27" i="4"/>
  <c r="B26" i="4"/>
  <c r="B21" i="4"/>
  <c r="B20" i="4"/>
  <c r="B16" i="4"/>
  <c r="B12" i="4"/>
  <c r="B7" i="4"/>
  <c r="L4" i="4"/>
  <c r="J16" i="5"/>
  <c r="G63" i="5"/>
  <c r="F63" i="5"/>
  <c r="C63" i="5"/>
  <c r="L33" i="5"/>
  <c r="G34" i="5"/>
  <c r="F34" i="5"/>
  <c r="B34" i="5"/>
  <c r="L34" i="5" s="1"/>
  <c r="H62" i="5"/>
  <c r="L16" i="5"/>
  <c r="G25" i="5"/>
  <c r="F25" i="5"/>
  <c r="C25" i="5"/>
  <c r="D33" i="5"/>
  <c r="D63" i="5"/>
  <c r="C34" i="5"/>
  <c r="L48" i="5"/>
  <c r="B63" i="5"/>
  <c r="D48" i="5"/>
  <c r="E48" i="5" s="1"/>
  <c r="N63" i="5"/>
  <c r="N34" i="5"/>
  <c r="D34" i="5"/>
  <c r="M34" i="5" s="1"/>
  <c r="D62" i="5"/>
  <c r="M62" i="5" s="1"/>
  <c r="N25" i="5"/>
  <c r="D25" i="5"/>
  <c r="M25" i="5" s="1"/>
  <c r="B25" i="5"/>
  <c r="L25" i="5" s="1"/>
  <c r="J35" i="3"/>
  <c r="K44" i="3"/>
  <c r="J5" i="3"/>
  <c r="L5" i="3"/>
  <c r="G35" i="3"/>
  <c r="F35" i="3"/>
  <c r="C35" i="3"/>
  <c r="B35" i="3"/>
  <c r="L35" i="3" s="1"/>
  <c r="D44" i="3"/>
  <c r="M44" i="3" s="1"/>
  <c r="D5" i="3"/>
  <c r="M5" i="3" s="1"/>
  <c r="D4" i="3"/>
  <c r="M4" i="3" s="1"/>
  <c r="L4" i="3"/>
  <c r="N35" i="3"/>
  <c r="D35" i="3"/>
  <c r="M35" i="3" s="1"/>
  <c r="D43" i="3"/>
  <c r="M43" i="3" s="1"/>
  <c r="N48" i="3"/>
  <c r="N45" i="3"/>
  <c r="N42" i="3"/>
  <c r="N32" i="3"/>
  <c r="N31" i="3"/>
  <c r="N30" i="3"/>
  <c r="N29" i="3"/>
  <c r="N27" i="3"/>
  <c r="N26" i="3"/>
  <c r="N24" i="3"/>
  <c r="N22" i="3"/>
  <c r="N21" i="3"/>
  <c r="N20" i="3"/>
  <c r="N19" i="3"/>
  <c r="N14" i="3"/>
  <c r="N11" i="3"/>
  <c r="N7" i="3"/>
  <c r="N3" i="3"/>
  <c r="K48" i="3"/>
  <c r="K30" i="3"/>
  <c r="K27" i="3"/>
  <c r="K26" i="3"/>
  <c r="K22" i="3"/>
  <c r="K19" i="3"/>
  <c r="K7" i="3"/>
  <c r="J48" i="3"/>
  <c r="J40" i="3"/>
  <c r="J31" i="3"/>
  <c r="J22" i="3"/>
  <c r="J21" i="3"/>
  <c r="J20" i="3"/>
  <c r="J11" i="3"/>
  <c r="I42" i="3"/>
  <c r="I32" i="3"/>
  <c r="I31" i="3"/>
  <c r="I30" i="3"/>
  <c r="I25" i="3"/>
  <c r="I18" i="3"/>
  <c r="I3" i="3"/>
  <c r="D48" i="3"/>
  <c r="D45" i="3"/>
  <c r="D42" i="3"/>
  <c r="D40" i="3"/>
  <c r="D37" i="3"/>
  <c r="D32" i="3"/>
  <c r="D31" i="3"/>
  <c r="D30" i="3"/>
  <c r="D29" i="3"/>
  <c r="D27" i="3"/>
  <c r="D26" i="3"/>
  <c r="D24" i="3"/>
  <c r="D22" i="3"/>
  <c r="D21" i="3"/>
  <c r="D20" i="3"/>
  <c r="D19" i="3"/>
  <c r="D18" i="3"/>
  <c r="D14" i="3"/>
  <c r="D11" i="3"/>
  <c r="D9" i="3"/>
  <c r="D7" i="3"/>
  <c r="D3" i="3"/>
  <c r="C48" i="3"/>
  <c r="C45" i="3"/>
  <c r="C42" i="3"/>
  <c r="C32" i="3"/>
  <c r="C31" i="3"/>
  <c r="C30" i="3"/>
  <c r="C29" i="3"/>
  <c r="C27" i="3"/>
  <c r="C26" i="3"/>
  <c r="C24" i="3"/>
  <c r="C22" i="3"/>
  <c r="C21" i="3"/>
  <c r="C20" i="3"/>
  <c r="C19" i="3"/>
  <c r="C18" i="3"/>
  <c r="C14" i="3"/>
  <c r="C11" i="3"/>
  <c r="C7" i="3"/>
  <c r="C3" i="3"/>
  <c r="B48" i="3"/>
  <c r="B45" i="3"/>
  <c r="B42" i="3"/>
  <c r="B32" i="3"/>
  <c r="B31" i="3"/>
  <c r="B30" i="3"/>
  <c r="B29" i="3"/>
  <c r="B27" i="3"/>
  <c r="B26" i="3"/>
  <c r="B24" i="3"/>
  <c r="B22" i="3"/>
  <c r="B21" i="3"/>
  <c r="B20" i="3"/>
  <c r="B19" i="3"/>
  <c r="B18" i="3"/>
  <c r="B14" i="3"/>
  <c r="B11" i="3"/>
  <c r="B7" i="3"/>
  <c r="B3" i="3"/>
  <c r="B15" i="8"/>
  <c r="E13" i="8"/>
  <c r="L21" i="8"/>
  <c r="E21" i="8"/>
  <c r="E18" i="8"/>
  <c r="L5" i="8"/>
  <c r="L11" i="8"/>
  <c r="K45" i="7"/>
  <c r="K44" i="7"/>
  <c r="K36" i="7"/>
  <c r="K21" i="7"/>
  <c r="K15" i="7"/>
  <c r="K12" i="7"/>
  <c r="K9" i="7"/>
  <c r="K4" i="7"/>
  <c r="J45" i="7"/>
  <c r="J38" i="7"/>
  <c r="J35" i="7"/>
  <c r="J30" i="7"/>
  <c r="J25" i="7"/>
  <c r="J21" i="7"/>
  <c r="J19" i="7"/>
  <c r="J16" i="7"/>
  <c r="J13" i="7"/>
  <c r="I42" i="7"/>
  <c r="I40" i="7"/>
  <c r="I32" i="7"/>
  <c r="I31" i="7"/>
  <c r="I26" i="7"/>
  <c r="I21" i="7"/>
  <c r="I16" i="7"/>
  <c r="I6" i="7"/>
  <c r="G35" i="7"/>
  <c r="F35" i="7"/>
  <c r="C35" i="7"/>
  <c r="I11" i="7"/>
  <c r="G11" i="7"/>
  <c r="F11" i="7"/>
  <c r="B11" i="7"/>
  <c r="L11" i="7" s="1"/>
  <c r="I39" i="7"/>
  <c r="D11" i="7"/>
  <c r="M11" i="7" s="1"/>
  <c r="D35" i="7"/>
  <c r="C11" i="7"/>
  <c r="N35" i="7"/>
  <c r="B35" i="7"/>
  <c r="L35" i="7" s="1"/>
  <c r="D39" i="7"/>
  <c r="M39" i="7" s="1"/>
  <c r="N11" i="7"/>
  <c r="N45" i="7"/>
  <c r="N44" i="7"/>
  <c r="N42" i="7"/>
  <c r="N40" i="7"/>
  <c r="N38" i="7"/>
  <c r="N37" i="7"/>
  <c r="N36" i="7"/>
  <c r="N32" i="7"/>
  <c r="N31" i="7"/>
  <c r="N26" i="7"/>
  <c r="N25" i="7"/>
  <c r="N21" i="7"/>
  <c r="N19" i="7"/>
  <c r="N16" i="7"/>
  <c r="N15" i="7"/>
  <c r="N14" i="7"/>
  <c r="N13" i="7"/>
  <c r="N12" i="7"/>
  <c r="N9" i="7"/>
  <c r="N8" i="7"/>
  <c r="N7" i="7"/>
  <c r="N6" i="7"/>
  <c r="N4" i="7"/>
  <c r="D45" i="7"/>
  <c r="D44" i="7"/>
  <c r="D42" i="7"/>
  <c r="D40" i="7"/>
  <c r="D38" i="7"/>
  <c r="D37" i="7"/>
  <c r="D36" i="7"/>
  <c r="D32" i="7"/>
  <c r="D31" i="7"/>
  <c r="D30" i="7"/>
  <c r="D26" i="7"/>
  <c r="D25" i="7"/>
  <c r="D21" i="7"/>
  <c r="D19" i="7"/>
  <c r="D16" i="7"/>
  <c r="D15" i="7"/>
  <c r="D14" i="7"/>
  <c r="D13" i="7"/>
  <c r="D12" i="7"/>
  <c r="D9" i="7"/>
  <c r="D8" i="7"/>
  <c r="D7" i="7"/>
  <c r="D6" i="7"/>
  <c r="D4" i="7"/>
  <c r="C45" i="7"/>
  <c r="C44" i="7"/>
  <c r="C42" i="7"/>
  <c r="C40" i="7"/>
  <c r="C37" i="7"/>
  <c r="C36" i="7"/>
  <c r="C32" i="7"/>
  <c r="C31" i="7"/>
  <c r="C26" i="7"/>
  <c r="C25" i="7"/>
  <c r="C21" i="7"/>
  <c r="C19" i="7"/>
  <c r="C16" i="7"/>
  <c r="C15" i="7"/>
  <c r="C14" i="7"/>
  <c r="C13" i="7"/>
  <c r="C12" i="7"/>
  <c r="C9" i="7"/>
  <c r="C8" i="7"/>
  <c r="C7" i="7"/>
  <c r="C6" i="7"/>
  <c r="C4" i="7"/>
  <c r="B45" i="7"/>
  <c r="B44" i="7"/>
  <c r="B42" i="7"/>
  <c r="B40" i="7"/>
  <c r="B38" i="7"/>
  <c r="B37" i="7"/>
  <c r="B36" i="7"/>
  <c r="B32" i="7"/>
  <c r="B31" i="7"/>
  <c r="B26" i="7"/>
  <c r="B25" i="7"/>
  <c r="B19" i="7"/>
  <c r="B16" i="7"/>
  <c r="B15" i="7"/>
  <c r="B14" i="7"/>
  <c r="B13" i="7"/>
  <c r="B12" i="7"/>
  <c r="B9" i="7"/>
  <c r="B8" i="7"/>
  <c r="B7" i="7"/>
  <c r="B6" i="7"/>
  <c r="B4" i="7"/>
  <c r="G41" i="5"/>
  <c r="F41" i="5"/>
  <c r="C41" i="5"/>
  <c r="B41" i="5"/>
  <c r="G29" i="5"/>
  <c r="F29" i="5"/>
  <c r="C29" i="5"/>
  <c r="G57" i="5"/>
  <c r="F57" i="5"/>
  <c r="C57" i="5"/>
  <c r="B57" i="5"/>
  <c r="L57" i="5" s="1"/>
  <c r="B29" i="5"/>
  <c r="L29" i="5" s="1"/>
  <c r="N41" i="5"/>
  <c r="D10" i="5"/>
  <c r="M10" i="5" s="1"/>
  <c r="L10" i="5"/>
  <c r="N57" i="5"/>
  <c r="D57" i="5"/>
  <c r="M57" i="5" s="1"/>
  <c r="N29" i="5"/>
  <c r="D29" i="5"/>
  <c r="M29" i="5" s="1"/>
  <c r="D16" i="5"/>
  <c r="M16" i="5" s="1"/>
  <c r="M33" i="5"/>
  <c r="N61" i="5"/>
  <c r="N60" i="5"/>
  <c r="N58" i="5"/>
  <c r="N56" i="5"/>
  <c r="N55" i="5"/>
  <c r="N52" i="5"/>
  <c r="N51" i="5"/>
  <c r="N50" i="5"/>
  <c r="N47" i="5"/>
  <c r="N46" i="5"/>
  <c r="N44" i="5"/>
  <c r="N43" i="5"/>
  <c r="N35" i="5"/>
  <c r="N32" i="5"/>
  <c r="N31" i="5"/>
  <c r="N30" i="5"/>
  <c r="N26" i="5"/>
  <c r="N23" i="5"/>
  <c r="N21" i="5"/>
  <c r="N20" i="5"/>
  <c r="N19" i="5"/>
  <c r="N18" i="5"/>
  <c r="N17" i="5"/>
  <c r="N15" i="5"/>
  <c r="N12" i="5"/>
  <c r="N6" i="5"/>
  <c r="N3" i="5"/>
  <c r="D61" i="5"/>
  <c r="D60" i="5"/>
  <c r="D58" i="5"/>
  <c r="D56" i="5"/>
  <c r="D55" i="5"/>
  <c r="D54" i="5"/>
  <c r="D52" i="5"/>
  <c r="D51" i="5"/>
  <c r="D50" i="5"/>
  <c r="C50" i="5"/>
  <c r="D47" i="5"/>
  <c r="D46" i="5"/>
  <c r="D45" i="5"/>
  <c r="D44" i="5"/>
  <c r="D43" i="5"/>
  <c r="D41" i="5"/>
  <c r="D40" i="5"/>
  <c r="D39" i="5"/>
  <c r="D37" i="5"/>
  <c r="D35" i="5"/>
  <c r="D32" i="5"/>
  <c r="D31" i="5"/>
  <c r="D30" i="5"/>
  <c r="D26" i="5"/>
  <c r="D24" i="5"/>
  <c r="D23" i="5"/>
  <c r="D22" i="5"/>
  <c r="D21" i="5"/>
  <c r="D20" i="5"/>
  <c r="D19" i="5"/>
  <c r="D18" i="5"/>
  <c r="D17" i="5"/>
  <c r="D15" i="5"/>
  <c r="D12" i="5"/>
  <c r="D9" i="5"/>
  <c r="D7" i="5"/>
  <c r="D6" i="5"/>
  <c r="D3" i="5"/>
  <c r="C61" i="5"/>
  <c r="C60" i="5"/>
  <c r="C58" i="5"/>
  <c r="C56" i="5"/>
  <c r="C55" i="5"/>
  <c r="C52" i="5"/>
  <c r="C51" i="5"/>
  <c r="C47" i="5"/>
  <c r="C46" i="5"/>
  <c r="C44" i="5"/>
  <c r="C43" i="5"/>
  <c r="C35" i="5"/>
  <c r="C32" i="5"/>
  <c r="C31" i="5"/>
  <c r="C30" i="5"/>
  <c r="C26" i="5"/>
  <c r="C23" i="5"/>
  <c r="C21" i="5"/>
  <c r="C20" i="5"/>
  <c r="C19" i="5"/>
  <c r="C18" i="5"/>
  <c r="C17" i="5"/>
  <c r="C15" i="5"/>
  <c r="C12" i="5"/>
  <c r="C6" i="5"/>
  <c r="C3" i="5"/>
  <c r="B61" i="5"/>
  <c r="B60" i="5"/>
  <c r="B58" i="5"/>
  <c r="B56" i="5"/>
  <c r="B55" i="5"/>
  <c r="B52" i="5"/>
  <c r="B51" i="5"/>
  <c r="B50" i="5"/>
  <c r="B47" i="5"/>
  <c r="B46" i="5"/>
  <c r="B44" i="5"/>
  <c r="B43" i="5"/>
  <c r="B35" i="5"/>
  <c r="B32" i="5"/>
  <c r="B31" i="5"/>
  <c r="B30" i="5"/>
  <c r="B26" i="5"/>
  <c r="B24" i="5"/>
  <c r="B23" i="5"/>
  <c r="B21" i="5"/>
  <c r="B20" i="5"/>
  <c r="B19" i="5"/>
  <c r="B18" i="5"/>
  <c r="B17" i="5"/>
  <c r="B15" i="5"/>
  <c r="B12" i="5"/>
  <c r="B6" i="5"/>
  <c r="B3" i="5"/>
  <c r="G6" i="2"/>
  <c r="F6" i="2"/>
  <c r="B6" i="2"/>
  <c r="E8" i="2"/>
  <c r="J8" i="2"/>
  <c r="I6" i="2"/>
  <c r="N6" i="2"/>
  <c r="C6" i="2"/>
  <c r="L10" i="2"/>
  <c r="E3" i="2"/>
  <c r="K4" i="6"/>
  <c r="I5" i="6"/>
  <c r="G5" i="6"/>
  <c r="F5" i="6"/>
  <c r="B5" i="6"/>
  <c r="L5" i="6" s="1"/>
  <c r="C5" i="6"/>
  <c r="N5" i="6"/>
  <c r="M5" i="6"/>
  <c r="M25" i="6"/>
  <c r="L25" i="6"/>
  <c r="M3" i="6"/>
  <c r="L3" i="6"/>
  <c r="M38" i="6"/>
  <c r="N52" i="6"/>
  <c r="N49" i="6"/>
  <c r="N48" i="6"/>
  <c r="N47" i="6"/>
  <c r="N42" i="6"/>
  <c r="N40" i="6"/>
  <c r="N39" i="6"/>
  <c r="N36" i="6"/>
  <c r="N35" i="6"/>
  <c r="N33" i="6"/>
  <c r="N32" i="6"/>
  <c r="N30" i="6"/>
  <c r="N29" i="6"/>
  <c r="N28" i="6"/>
  <c r="N27" i="6"/>
  <c r="N23" i="6"/>
  <c r="N20" i="6"/>
  <c r="N17" i="6"/>
  <c r="N16" i="6"/>
  <c r="N13" i="6"/>
  <c r="N12" i="6"/>
  <c r="N10" i="6"/>
  <c r="N9" i="6"/>
  <c r="N8" i="6"/>
  <c r="N7" i="6"/>
  <c r="C52" i="6"/>
  <c r="C49" i="6"/>
  <c r="C48" i="6"/>
  <c r="C47" i="6"/>
  <c r="C42" i="6"/>
  <c r="C39" i="6"/>
  <c r="C36" i="6"/>
  <c r="C32" i="6"/>
  <c r="C30" i="6"/>
  <c r="C29" i="6"/>
  <c r="C28" i="6"/>
  <c r="C27" i="6"/>
  <c r="C23" i="6"/>
  <c r="C21" i="6"/>
  <c r="C20" i="6"/>
  <c r="C17" i="6"/>
  <c r="C16" i="6"/>
  <c r="C13" i="6"/>
  <c r="C12" i="6"/>
  <c r="C10" i="6"/>
  <c r="C9" i="6"/>
  <c r="C8" i="6"/>
  <c r="C7" i="6"/>
  <c r="B52" i="6"/>
  <c r="B49" i="6"/>
  <c r="B48" i="6"/>
  <c r="B47" i="6"/>
  <c r="B42" i="6"/>
  <c r="B39" i="6"/>
  <c r="B36" i="6"/>
  <c r="B32" i="6"/>
  <c r="B30" i="6"/>
  <c r="B29" i="6"/>
  <c r="B28" i="6"/>
  <c r="B27" i="6"/>
  <c r="B23" i="6"/>
  <c r="B21" i="6"/>
  <c r="B20" i="6"/>
  <c r="B17" i="6"/>
  <c r="B16" i="6"/>
  <c r="B13" i="6"/>
  <c r="B12" i="6"/>
  <c r="B10" i="6"/>
  <c r="B9" i="6"/>
  <c r="B8" i="6"/>
  <c r="B7" i="6"/>
  <c r="L4" i="6"/>
  <c r="M31" i="6"/>
  <c r="M4" i="6"/>
  <c r="O14" i="2" l="1"/>
  <c r="H11" i="2"/>
  <c r="O27" i="7"/>
  <c r="O48" i="4"/>
  <c r="E37" i="6"/>
  <c r="O37" i="6"/>
  <c r="H39" i="7"/>
  <c r="H10" i="5"/>
  <c r="E16" i="3"/>
  <c r="H16" i="3"/>
  <c r="E12" i="3"/>
  <c r="H5" i="6"/>
  <c r="H37" i="6"/>
  <c r="O16" i="3"/>
  <c r="M48" i="5"/>
  <c r="O48" i="5" s="1"/>
  <c r="H34" i="5"/>
  <c r="E27" i="7"/>
  <c r="O24" i="6"/>
  <c r="O34" i="5"/>
  <c r="L3" i="2"/>
  <c r="E6" i="2"/>
  <c r="E35" i="4"/>
  <c r="E14" i="2"/>
  <c r="O11" i="2"/>
  <c r="H44" i="6"/>
  <c r="E24" i="6"/>
  <c r="E44" i="6"/>
  <c r="H24" i="6"/>
  <c r="H25" i="6"/>
  <c r="O15" i="6"/>
  <c r="O44" i="6"/>
  <c r="E18" i="6"/>
  <c r="O25" i="6"/>
  <c r="O5" i="6"/>
  <c r="O12" i="3"/>
  <c r="H28" i="3"/>
  <c r="H12" i="3"/>
  <c r="O23" i="3"/>
  <c r="E23" i="3"/>
  <c r="O28" i="3"/>
  <c r="E47" i="3"/>
  <c r="H23" i="3"/>
  <c r="E28" i="3"/>
  <c r="H46" i="3"/>
  <c r="H47" i="3"/>
  <c r="O47" i="3"/>
  <c r="O6" i="3"/>
  <c r="H6" i="3"/>
  <c r="E6" i="3"/>
  <c r="O46" i="3"/>
  <c r="E46" i="3"/>
  <c r="O4" i="3"/>
  <c r="E4" i="3"/>
  <c r="L7" i="8"/>
  <c r="O7" i="8" s="1"/>
  <c r="E11" i="8"/>
  <c r="O12" i="8"/>
  <c r="E12" i="8"/>
  <c r="E5" i="8"/>
  <c r="E15" i="8"/>
  <c r="H27" i="7"/>
  <c r="E20" i="7"/>
  <c r="E39" i="7"/>
  <c r="O20" i="7"/>
  <c r="H15" i="6"/>
  <c r="E15" i="6"/>
  <c r="H18" i="6"/>
  <c r="O38" i="6"/>
  <c r="O18" i="6"/>
  <c r="E31" i="6"/>
  <c r="O3" i="6"/>
  <c r="E25" i="6"/>
  <c r="E11" i="2"/>
  <c r="E10" i="2"/>
  <c r="H48" i="4"/>
  <c r="E48" i="4"/>
  <c r="E8" i="4"/>
  <c r="H35" i="4"/>
  <c r="L8" i="4"/>
  <c r="O8" i="4" s="1"/>
  <c r="O35" i="4"/>
  <c r="H8" i="4"/>
  <c r="H10" i="4"/>
  <c r="E10" i="4"/>
  <c r="O10" i="4"/>
  <c r="H48" i="5"/>
  <c r="E34" i="5"/>
  <c r="E62" i="5"/>
  <c r="E57" i="5"/>
  <c r="L62" i="5"/>
  <c r="O62" i="5" s="1"/>
  <c r="H57" i="5"/>
  <c r="H25" i="5"/>
  <c r="E25" i="5"/>
  <c r="O25" i="5"/>
  <c r="O10" i="5"/>
  <c r="H35" i="3"/>
  <c r="E35" i="3"/>
  <c r="E44" i="3"/>
  <c r="H44" i="3"/>
  <c r="H43" i="3"/>
  <c r="O35" i="3"/>
  <c r="O44" i="3"/>
  <c r="H5" i="3"/>
  <c r="E43" i="3"/>
  <c r="O5" i="3"/>
  <c r="E5" i="3"/>
  <c r="O43" i="3"/>
  <c r="L15" i="8"/>
  <c r="L13" i="8"/>
  <c r="L18" i="8"/>
  <c r="H35" i="7"/>
  <c r="L39" i="7"/>
  <c r="O39" i="7" s="1"/>
  <c r="E35" i="7"/>
  <c r="H11" i="7"/>
  <c r="M35" i="7"/>
  <c r="O35" i="7" s="1"/>
  <c r="E11" i="7"/>
  <c r="O11" i="7"/>
  <c r="O16" i="5"/>
  <c r="H29" i="5"/>
  <c r="E10" i="5"/>
  <c r="E29" i="5"/>
  <c r="H16" i="5"/>
  <c r="O57" i="5"/>
  <c r="E16" i="5"/>
  <c r="O29" i="5"/>
  <c r="E33" i="5"/>
  <c r="O33" i="5"/>
  <c r="H33" i="5"/>
  <c r="L8" i="2"/>
  <c r="L6" i="2"/>
  <c r="E5" i="6"/>
  <c r="E3" i="6"/>
  <c r="H3" i="6"/>
  <c r="E38" i="6"/>
  <c r="H31" i="6"/>
  <c r="O4" i="6"/>
  <c r="H38" i="6"/>
  <c r="O31" i="6"/>
  <c r="H4" i="6"/>
  <c r="E4" i="6"/>
  <c r="N21" i="6" l="1"/>
  <c r="I21" i="6"/>
  <c r="G21" i="6"/>
  <c r="F21" i="6"/>
  <c r="D21" i="6"/>
  <c r="M21" i="6" s="1"/>
  <c r="L21" i="6"/>
  <c r="N22" i="6"/>
  <c r="G22" i="6"/>
  <c r="F22" i="6"/>
  <c r="C22" i="6"/>
  <c r="B22" i="6"/>
  <c r="N45" i="6"/>
  <c r="J45" i="6"/>
  <c r="G45" i="6"/>
  <c r="F45" i="6"/>
  <c r="D45" i="6"/>
  <c r="M45" i="6" s="1"/>
  <c r="C45" i="6"/>
  <c r="B45" i="6"/>
  <c r="L45" i="6" s="1"/>
  <c r="J33" i="6"/>
  <c r="G33" i="6"/>
  <c r="F33" i="6"/>
  <c r="D33" i="6"/>
  <c r="M33" i="6" s="1"/>
  <c r="C33" i="6"/>
  <c r="B33" i="6"/>
  <c r="L33" i="6" s="1"/>
  <c r="K13" i="6"/>
  <c r="G13" i="6"/>
  <c r="F13" i="6"/>
  <c r="D13" i="6"/>
  <c r="M13" i="6" s="1"/>
  <c r="L13" i="6"/>
  <c r="D35" i="6"/>
  <c r="M35" i="6" s="1"/>
  <c r="B35" i="6"/>
  <c r="L35" i="6" s="1"/>
  <c r="G35" i="6"/>
  <c r="F35" i="6"/>
  <c r="C35" i="6"/>
  <c r="G48" i="6"/>
  <c r="F48" i="6"/>
  <c r="D48" i="6"/>
  <c r="I40" i="6"/>
  <c r="G40" i="6"/>
  <c r="F40" i="6"/>
  <c r="C40" i="6"/>
  <c r="B40" i="6"/>
  <c r="K19" i="6"/>
  <c r="G27" i="4"/>
  <c r="F27" i="4"/>
  <c r="M32" i="4"/>
  <c r="L32" i="4"/>
  <c r="I32" i="4"/>
  <c r="E32" i="4"/>
  <c r="J54" i="4"/>
  <c r="G54" i="4"/>
  <c r="F54" i="4"/>
  <c r="B54" i="4"/>
  <c r="E54" i="4" s="1"/>
  <c r="M40" i="4"/>
  <c r="L40" i="4"/>
  <c r="G40" i="4"/>
  <c r="F40" i="4"/>
  <c r="L33" i="4"/>
  <c r="G46" i="4"/>
  <c r="F46" i="4"/>
  <c r="M54" i="5"/>
  <c r="L55" i="5"/>
  <c r="G55" i="5"/>
  <c r="F55" i="5"/>
  <c r="E55" i="5"/>
  <c r="L39" i="5"/>
  <c r="G30" i="5"/>
  <c r="F30" i="5"/>
  <c r="G47" i="4"/>
  <c r="F47" i="4"/>
  <c r="G29" i="4"/>
  <c r="F29" i="4"/>
  <c r="G12" i="10"/>
  <c r="F12" i="10"/>
  <c r="G9" i="10"/>
  <c r="F9" i="10"/>
  <c r="G3" i="10"/>
  <c r="F3" i="10"/>
  <c r="G36" i="6"/>
  <c r="F36" i="6"/>
  <c r="M32" i="6"/>
  <c r="G32" i="6"/>
  <c r="F32" i="6"/>
  <c r="L32" i="6"/>
  <c r="G27" i="6"/>
  <c r="F27" i="6"/>
  <c r="G9" i="6"/>
  <c r="F9" i="6"/>
  <c r="E32" i="6"/>
  <c r="G56" i="5"/>
  <c r="F56" i="5"/>
  <c r="G31" i="5"/>
  <c r="F31" i="5"/>
  <c r="G15" i="5"/>
  <c r="F15" i="5"/>
  <c r="G44" i="5"/>
  <c r="F44" i="5"/>
  <c r="G32" i="5"/>
  <c r="F32" i="5"/>
  <c r="E59" i="6"/>
  <c r="H59" i="6"/>
  <c r="G11" i="10"/>
  <c r="F11" i="10"/>
  <c r="G10" i="10"/>
  <c r="F10" i="10"/>
  <c r="G8" i="10"/>
  <c r="F8" i="10"/>
  <c r="G5" i="10"/>
  <c r="F5" i="10"/>
  <c r="G9" i="7"/>
  <c r="F9" i="7"/>
  <c r="G26" i="7"/>
  <c r="F26" i="7"/>
  <c r="G21" i="7"/>
  <c r="F21" i="7"/>
  <c r="G36" i="7"/>
  <c r="F36" i="7"/>
  <c r="G37" i="7"/>
  <c r="F37" i="7"/>
  <c r="G29" i="6"/>
  <c r="F29" i="6"/>
  <c r="G30" i="6"/>
  <c r="F30" i="6"/>
  <c r="G8" i="6"/>
  <c r="F8" i="6"/>
  <c r="G52" i="6"/>
  <c r="F52" i="6"/>
  <c r="G28" i="6"/>
  <c r="F28" i="6"/>
  <c r="G61" i="5"/>
  <c r="F61" i="5"/>
  <c r="G18" i="5"/>
  <c r="F18" i="5"/>
  <c r="G12" i="4"/>
  <c r="F12" i="4"/>
  <c r="G56" i="4"/>
  <c r="F56" i="4"/>
  <c r="G3" i="3"/>
  <c r="F3" i="3"/>
  <c r="G7" i="3"/>
  <c r="F7" i="3"/>
  <c r="G22" i="3"/>
  <c r="F22" i="3"/>
  <c r="G40" i="7"/>
  <c r="F40" i="7"/>
  <c r="G7" i="7"/>
  <c r="F7" i="7"/>
  <c r="G16" i="7"/>
  <c r="F16" i="7"/>
  <c r="G7" i="6"/>
  <c r="F7" i="6"/>
  <c r="G16" i="6"/>
  <c r="F16" i="6"/>
  <c r="G49" i="6"/>
  <c r="F49" i="6"/>
  <c r="G10" i="6"/>
  <c r="F10" i="6"/>
  <c r="G17" i="6"/>
  <c r="F17" i="6"/>
  <c r="G23" i="6"/>
  <c r="F23" i="6"/>
  <c r="G26" i="4"/>
  <c r="F26" i="4"/>
  <c r="G36" i="4"/>
  <c r="F36" i="4"/>
  <c r="G57" i="4"/>
  <c r="F57" i="4"/>
  <c r="G19" i="3"/>
  <c r="F19" i="3"/>
  <c r="G30" i="3"/>
  <c r="F30" i="3"/>
  <c r="G24" i="3"/>
  <c r="F24" i="3"/>
  <c r="G21" i="3"/>
  <c r="F21" i="3"/>
  <c r="E6" i="10"/>
  <c r="E7" i="10"/>
  <c r="E8" i="10"/>
  <c r="E5" i="10"/>
  <c r="E10" i="10"/>
  <c r="E11" i="10"/>
  <c r="E3" i="10"/>
  <c r="E9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G7" i="10"/>
  <c r="F7" i="10"/>
  <c r="G6" i="10"/>
  <c r="F6" i="10"/>
  <c r="L6" i="10"/>
  <c r="L7" i="10"/>
  <c r="L8" i="10"/>
  <c r="L5" i="10"/>
  <c r="L10" i="10"/>
  <c r="L11" i="10"/>
  <c r="L3" i="10"/>
  <c r="L9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" i="10"/>
  <c r="G4" i="10"/>
  <c r="F4" i="10"/>
  <c r="G45" i="7"/>
  <c r="F45" i="7"/>
  <c r="G42" i="7"/>
  <c r="F42" i="7"/>
  <c r="G51" i="4"/>
  <c r="F51" i="4"/>
  <c r="G8" i="9"/>
  <c r="F8" i="9"/>
  <c r="G4" i="9"/>
  <c r="F4" i="9"/>
  <c r="L6" i="9"/>
  <c r="L4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3" i="9"/>
  <c r="G6" i="9"/>
  <c r="F6" i="9"/>
  <c r="E6" i="9"/>
  <c r="E4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G12" i="7"/>
  <c r="F12" i="7"/>
  <c r="G13" i="7"/>
  <c r="F13" i="7"/>
  <c r="G6" i="7"/>
  <c r="F6" i="7"/>
  <c r="G31" i="7"/>
  <c r="F31" i="7"/>
  <c r="E36" i="6"/>
  <c r="G47" i="5"/>
  <c r="F47" i="5"/>
  <c r="G50" i="5"/>
  <c r="F50" i="5"/>
  <c r="G60" i="5"/>
  <c r="F60" i="5"/>
  <c r="G12" i="5"/>
  <c r="F12" i="5"/>
  <c r="G43" i="5"/>
  <c r="F43" i="5"/>
  <c r="G51" i="5"/>
  <c r="F51" i="5"/>
  <c r="G60" i="4"/>
  <c r="F60" i="4"/>
  <c r="E31" i="4"/>
  <c r="E11" i="4"/>
  <c r="E33" i="4"/>
  <c r="E51" i="4"/>
  <c r="E57" i="4"/>
  <c r="E36" i="4"/>
  <c r="E47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G38" i="4"/>
  <c r="F38" i="4"/>
  <c r="G7" i="4"/>
  <c r="F7" i="4"/>
  <c r="G26" i="5"/>
  <c r="F26" i="5"/>
  <c r="G35" i="5"/>
  <c r="F35" i="5"/>
  <c r="G17" i="5"/>
  <c r="F17" i="5"/>
  <c r="G21" i="4"/>
  <c r="F21" i="4"/>
  <c r="G37" i="4"/>
  <c r="F37" i="4"/>
  <c r="G12" i="6"/>
  <c r="F12" i="6"/>
  <c r="G14" i="7"/>
  <c r="F14" i="7"/>
  <c r="L44" i="7"/>
  <c r="G44" i="7"/>
  <c r="F44" i="7"/>
  <c r="G19" i="7"/>
  <c r="F19" i="7"/>
  <c r="G21" i="5"/>
  <c r="F21" i="5"/>
  <c r="G19" i="5"/>
  <c r="F19" i="5"/>
  <c r="G20" i="5"/>
  <c r="F20" i="5"/>
  <c r="G52" i="4"/>
  <c r="F52" i="4"/>
  <c r="G20" i="4"/>
  <c r="F20" i="4"/>
  <c r="G31" i="3"/>
  <c r="F31" i="3"/>
  <c r="G29" i="3"/>
  <c r="F29" i="3"/>
  <c r="G27" i="3"/>
  <c r="F27" i="3"/>
  <c r="G11" i="3"/>
  <c r="F11" i="3"/>
  <c r="G18" i="3"/>
  <c r="F18" i="3"/>
  <c r="G48" i="3"/>
  <c r="F48" i="3"/>
  <c r="G45" i="4"/>
  <c r="F45" i="4"/>
  <c r="G52" i="5"/>
  <c r="F52" i="5"/>
  <c r="G46" i="5"/>
  <c r="F46" i="5"/>
  <c r="G8" i="7"/>
  <c r="F8" i="7"/>
  <c r="G15" i="7"/>
  <c r="F15" i="7"/>
  <c r="G30" i="4"/>
  <c r="F30" i="4"/>
  <c r="G58" i="5"/>
  <c r="F58" i="5"/>
  <c r="G6" i="5"/>
  <c r="F6" i="5"/>
  <c r="G47" i="6"/>
  <c r="F47" i="6"/>
  <c r="G20" i="6"/>
  <c r="F20" i="6"/>
  <c r="G26" i="3"/>
  <c r="F26" i="3"/>
  <c r="G3" i="5"/>
  <c r="F3" i="5"/>
  <c r="G23" i="5"/>
  <c r="F23" i="5"/>
  <c r="G28" i="4"/>
  <c r="F28" i="4"/>
  <c r="G16" i="4"/>
  <c r="F16" i="4"/>
  <c r="G20" i="3"/>
  <c r="F20" i="3"/>
  <c r="G32" i="3"/>
  <c r="F32" i="3"/>
  <c r="G14" i="3"/>
  <c r="F14" i="3"/>
  <c r="G25" i="7"/>
  <c r="F25" i="7"/>
  <c r="G4" i="7"/>
  <c r="F4" i="7"/>
  <c r="E4" i="7"/>
  <c r="E25" i="7"/>
  <c r="E15" i="7"/>
  <c r="E9" i="7"/>
  <c r="E37" i="7"/>
  <c r="E21" i="7"/>
  <c r="E30" i="7"/>
  <c r="E45" i="7"/>
  <c r="E31" i="7"/>
  <c r="E16" i="7"/>
  <c r="E8" i="7"/>
  <c r="E19" i="7"/>
  <c r="E6" i="7"/>
  <c r="E42" i="7"/>
  <c r="E44" i="7"/>
  <c r="E38" i="7"/>
  <c r="E14" i="7"/>
  <c r="E13" i="7"/>
  <c r="E36" i="7"/>
  <c r="E12" i="7"/>
  <c r="E7" i="7"/>
  <c r="E40" i="7"/>
  <c r="E26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L4" i="7"/>
  <c r="L25" i="7"/>
  <c r="L15" i="7"/>
  <c r="L9" i="7"/>
  <c r="L37" i="7"/>
  <c r="L21" i="7"/>
  <c r="L30" i="7"/>
  <c r="L45" i="7"/>
  <c r="L31" i="7"/>
  <c r="L16" i="7"/>
  <c r="L8" i="7"/>
  <c r="L19" i="7"/>
  <c r="L6" i="7"/>
  <c r="L42" i="7"/>
  <c r="L38" i="7"/>
  <c r="L14" i="7"/>
  <c r="L13" i="7"/>
  <c r="L36" i="7"/>
  <c r="L12" i="7"/>
  <c r="L7" i="7"/>
  <c r="L40" i="7"/>
  <c r="L26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32" i="7"/>
  <c r="M32" i="7"/>
  <c r="G32" i="7"/>
  <c r="F32" i="7"/>
  <c r="G39" i="6"/>
  <c r="F39" i="6"/>
  <c r="G42" i="6"/>
  <c r="F42" i="6"/>
  <c r="G59" i="4"/>
  <c r="F59" i="4"/>
  <c r="G45" i="3"/>
  <c r="F45" i="3"/>
  <c r="E23" i="6"/>
  <c r="E30" i="4"/>
  <c r="E46" i="4"/>
  <c r="L37" i="5"/>
  <c r="L9" i="5"/>
  <c r="L21" i="5"/>
  <c r="L56" i="5"/>
  <c r="L60" i="5"/>
  <c r="L40" i="5"/>
  <c r="L3" i="5"/>
  <c r="L6" i="5"/>
  <c r="L18" i="5"/>
  <c r="L50" i="5"/>
  <c r="L51" i="5"/>
  <c r="L43" i="5"/>
  <c r="L61" i="5"/>
  <c r="L45" i="5"/>
  <c r="L54" i="5"/>
  <c r="L30" i="5"/>
  <c r="L20" i="5"/>
  <c r="L41" i="5"/>
  <c r="L35" i="5"/>
  <c r="L24" i="5"/>
  <c r="L32" i="5"/>
  <c r="L23" i="5"/>
  <c r="L31" i="5"/>
  <c r="L22" i="5"/>
  <c r="L58" i="5"/>
  <c r="L19" i="5"/>
  <c r="L46" i="5"/>
  <c r="L52" i="5"/>
  <c r="L17" i="5"/>
  <c r="L26" i="5"/>
  <c r="L12" i="5"/>
  <c r="L63" i="5"/>
  <c r="L44" i="5"/>
  <c r="L15" i="5"/>
  <c r="L64" i="5"/>
  <c r="L65" i="5"/>
  <c r="L66" i="5"/>
  <c r="L67" i="5"/>
  <c r="L68" i="5"/>
  <c r="L69" i="5"/>
  <c r="L70" i="5"/>
  <c r="L71" i="5"/>
  <c r="L72" i="5"/>
  <c r="L73" i="5"/>
  <c r="L74" i="5"/>
  <c r="L39" i="4"/>
  <c r="L53" i="4"/>
  <c r="L28" i="4"/>
  <c r="L43" i="4"/>
  <c r="L41" i="4"/>
  <c r="L26" i="4"/>
  <c r="L5" i="4"/>
  <c r="L25" i="4"/>
  <c r="O25" i="4" s="1"/>
  <c r="L30" i="4"/>
  <c r="L46" i="4"/>
  <c r="L55" i="4"/>
  <c r="L59" i="4"/>
  <c r="L20" i="4"/>
  <c r="L12" i="4"/>
  <c r="L16" i="4"/>
  <c r="L44" i="4"/>
  <c r="L60" i="4"/>
  <c r="L52" i="4"/>
  <c r="L56" i="4"/>
  <c r="L45" i="4"/>
  <c r="L24" i="4"/>
  <c r="L61" i="4"/>
  <c r="L37" i="4"/>
  <c r="L21" i="4"/>
  <c r="L29" i="4"/>
  <c r="L27" i="4"/>
  <c r="L38" i="4"/>
  <c r="L58" i="4"/>
  <c r="L31" i="4"/>
  <c r="L11" i="4"/>
  <c r="L51" i="4"/>
  <c r="L57" i="4"/>
  <c r="L36" i="4"/>
  <c r="L47" i="4"/>
  <c r="L63" i="4"/>
  <c r="L7" i="4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4" i="1"/>
  <c r="L5" i="1"/>
  <c r="L6" i="1"/>
  <c r="L3" i="1"/>
  <c r="L7" i="5"/>
  <c r="L54" i="4" l="1"/>
  <c r="O40" i="4"/>
  <c r="H32" i="4"/>
  <c r="O32" i="4"/>
  <c r="H40" i="4"/>
  <c r="H55" i="5"/>
  <c r="H21" i="6"/>
  <c r="E45" i="6"/>
  <c r="O21" i="6"/>
  <c r="E21" i="6"/>
  <c r="H45" i="6"/>
  <c r="O45" i="6"/>
  <c r="H33" i="6"/>
  <c r="O33" i="6"/>
  <c r="O35" i="6"/>
  <c r="E33" i="6"/>
  <c r="H32" i="6"/>
  <c r="H13" i="6"/>
  <c r="O13" i="6"/>
  <c r="E13" i="6"/>
  <c r="E35" i="6"/>
  <c r="O32" i="6"/>
  <c r="E40" i="4"/>
  <c r="E39" i="4"/>
  <c r="E53" i="4"/>
  <c r="E28" i="4"/>
  <c r="E43" i="4"/>
  <c r="E41" i="4"/>
  <c r="E26" i="4"/>
  <c r="E5" i="4"/>
  <c r="E25" i="4"/>
  <c r="E4" i="4"/>
  <c r="E55" i="4"/>
  <c r="E59" i="4"/>
  <c r="E20" i="4"/>
  <c r="E12" i="4"/>
  <c r="E16" i="4"/>
  <c r="E44" i="4"/>
  <c r="E60" i="4"/>
  <c r="E52" i="4"/>
  <c r="E56" i="4"/>
  <c r="E45" i="4"/>
  <c r="E24" i="4"/>
  <c r="E61" i="4"/>
  <c r="E37" i="4"/>
  <c r="E21" i="4"/>
  <c r="E29" i="4"/>
  <c r="E27" i="4"/>
  <c r="E38" i="4"/>
  <c r="G6" i="1"/>
  <c r="F6" i="1"/>
  <c r="G5" i="1"/>
  <c r="F5" i="1"/>
  <c r="G4" i="1"/>
  <c r="F4" i="1"/>
  <c r="G3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L9" i="6"/>
  <c r="L20" i="6"/>
  <c r="L40" i="6"/>
  <c r="L27" i="6"/>
  <c r="L36" i="6"/>
  <c r="L19" i="6"/>
  <c r="L28" i="6"/>
  <c r="L23" i="6"/>
  <c r="L41" i="6"/>
  <c r="L48" i="6"/>
  <c r="L42" i="6"/>
  <c r="L39" i="6"/>
  <c r="L29" i="6"/>
  <c r="L51" i="6"/>
  <c r="L8" i="6"/>
  <c r="L47" i="6"/>
  <c r="L12" i="6"/>
  <c r="L17" i="6"/>
  <c r="L10" i="6"/>
  <c r="L49" i="6"/>
  <c r="L16" i="6"/>
  <c r="L7" i="6"/>
  <c r="L52" i="6"/>
  <c r="L30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22" i="6"/>
  <c r="E9" i="6"/>
  <c r="E20" i="6"/>
  <c r="E40" i="6"/>
  <c r="E27" i="6"/>
  <c r="E19" i="6"/>
  <c r="E28" i="6"/>
  <c r="E41" i="6"/>
  <c r="E48" i="6"/>
  <c r="E42" i="6"/>
  <c r="E39" i="6"/>
  <c r="E29" i="6"/>
  <c r="E51" i="6"/>
  <c r="E8" i="6"/>
  <c r="E47" i="6"/>
  <c r="E12" i="6"/>
  <c r="E17" i="6"/>
  <c r="E10" i="6"/>
  <c r="E49" i="6"/>
  <c r="E16" i="6"/>
  <c r="E7" i="6"/>
  <c r="E52" i="6"/>
  <c r="E30" i="6"/>
  <c r="E53" i="6"/>
  <c r="E54" i="6"/>
  <c r="E55" i="6"/>
  <c r="E56" i="6"/>
  <c r="E57" i="6"/>
  <c r="E58" i="6"/>
  <c r="E60" i="6"/>
  <c r="E61" i="6"/>
  <c r="E62" i="6"/>
  <c r="E63" i="6"/>
  <c r="E64" i="6"/>
  <c r="E65" i="6"/>
  <c r="E37" i="5"/>
  <c r="E9" i="5"/>
  <c r="E47" i="5"/>
  <c r="E21" i="5"/>
  <c r="E56" i="5"/>
  <c r="E60" i="5"/>
  <c r="E40" i="5"/>
  <c r="E3" i="5"/>
  <c r="E6" i="5"/>
  <c r="E18" i="5"/>
  <c r="E50" i="5"/>
  <c r="E51" i="5"/>
  <c r="E43" i="5"/>
  <c r="E61" i="5"/>
  <c r="E45" i="5"/>
  <c r="E54" i="5"/>
  <c r="E30" i="5"/>
  <c r="E20" i="5"/>
  <c r="E41" i="5"/>
  <c r="E35" i="5"/>
  <c r="E24" i="5"/>
  <c r="E32" i="5"/>
  <c r="E23" i="5"/>
  <c r="E31" i="5"/>
  <c r="E22" i="5"/>
  <c r="E58" i="5"/>
  <c r="E19" i="5"/>
  <c r="E46" i="5"/>
  <c r="E52" i="5"/>
  <c r="E39" i="5"/>
  <c r="E17" i="5"/>
  <c r="E26" i="5"/>
  <c r="E12" i="5"/>
  <c r="E63" i="5"/>
  <c r="E44" i="5"/>
  <c r="E15" i="5"/>
  <c r="E64" i="5"/>
  <c r="E48" i="3"/>
  <c r="E14" i="3"/>
  <c r="E27" i="3"/>
  <c r="E40" i="3"/>
  <c r="E32" i="3"/>
  <c r="E31" i="3"/>
  <c r="E18" i="3"/>
  <c r="E22" i="3"/>
  <c r="E3" i="3"/>
  <c r="E7" i="3"/>
  <c r="E30" i="3"/>
  <c r="E45" i="3"/>
  <c r="E37" i="3"/>
  <c r="E20" i="3"/>
  <c r="E26" i="3"/>
  <c r="E11" i="3"/>
  <c r="E29" i="3"/>
  <c r="E25" i="3"/>
  <c r="E9" i="3"/>
  <c r="E21" i="3"/>
  <c r="E24" i="3"/>
  <c r="E19" i="3"/>
  <c r="E51" i="3"/>
  <c r="E52" i="3"/>
  <c r="E53" i="3"/>
  <c r="E54" i="3"/>
  <c r="E55" i="3"/>
  <c r="E56" i="3"/>
  <c r="E57" i="3"/>
  <c r="E58" i="3"/>
  <c r="E59" i="3"/>
  <c r="E60" i="3"/>
  <c r="E61" i="3"/>
  <c r="G42" i="3"/>
  <c r="F42" i="3"/>
  <c r="L48" i="3"/>
  <c r="L14" i="3"/>
  <c r="L27" i="3"/>
  <c r="L40" i="3"/>
  <c r="L32" i="3"/>
  <c r="L31" i="3"/>
  <c r="L18" i="3"/>
  <c r="L22" i="3"/>
  <c r="L3" i="3"/>
  <c r="L7" i="3"/>
  <c r="L30" i="3"/>
  <c r="L45" i="3"/>
  <c r="L37" i="3"/>
  <c r="L20" i="3"/>
  <c r="L26" i="3"/>
  <c r="L11" i="3"/>
  <c r="L29" i="3"/>
  <c r="L25" i="3"/>
  <c r="L9" i="3"/>
  <c r="L21" i="3"/>
  <c r="L24" i="3"/>
  <c r="L19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42" i="3"/>
  <c r="M64" i="10" l="1"/>
  <c r="O64" i="10" s="1"/>
  <c r="H64" i="10"/>
  <c r="E64" i="10"/>
  <c r="M63" i="10"/>
  <c r="O63" i="10" s="1"/>
  <c r="H63" i="10"/>
  <c r="E63" i="10"/>
  <c r="M62" i="10"/>
  <c r="O62" i="10" s="1"/>
  <c r="H62" i="10"/>
  <c r="E62" i="10"/>
  <c r="M61" i="10"/>
  <c r="O61" i="10" s="1"/>
  <c r="H61" i="10"/>
  <c r="E61" i="10"/>
  <c r="M60" i="10"/>
  <c r="O60" i="10" s="1"/>
  <c r="H60" i="10"/>
  <c r="E60" i="10"/>
  <c r="M59" i="10"/>
  <c r="O59" i="10" s="1"/>
  <c r="H59" i="10"/>
  <c r="E59" i="10"/>
  <c r="M58" i="10"/>
  <c r="O58" i="10" s="1"/>
  <c r="H58" i="10"/>
  <c r="E58" i="10"/>
  <c r="M57" i="10"/>
  <c r="O57" i="10" s="1"/>
  <c r="H57" i="10"/>
  <c r="E57" i="10"/>
  <c r="M56" i="10"/>
  <c r="O56" i="10" s="1"/>
  <c r="H56" i="10"/>
  <c r="E56" i="10"/>
  <c r="M55" i="10"/>
  <c r="O55" i="10" s="1"/>
  <c r="H55" i="10"/>
  <c r="E55" i="10"/>
  <c r="M54" i="10"/>
  <c r="O54" i="10" s="1"/>
  <c r="H54" i="10"/>
  <c r="E54" i="10"/>
  <c r="M53" i="10"/>
  <c r="O53" i="10" s="1"/>
  <c r="H53" i="10"/>
  <c r="E53" i="10"/>
  <c r="M52" i="10"/>
  <c r="O52" i="10" s="1"/>
  <c r="H52" i="10"/>
  <c r="E52" i="10"/>
  <c r="M51" i="10"/>
  <c r="O51" i="10" s="1"/>
  <c r="H51" i="10"/>
  <c r="E51" i="10"/>
  <c r="M50" i="10"/>
  <c r="O50" i="10" s="1"/>
  <c r="H50" i="10"/>
  <c r="E50" i="10"/>
  <c r="M49" i="10"/>
  <c r="O49" i="10" s="1"/>
  <c r="H49" i="10"/>
  <c r="E49" i="10"/>
  <c r="M48" i="10"/>
  <c r="O48" i="10" s="1"/>
  <c r="H48" i="10"/>
  <c r="E48" i="10"/>
  <c r="M47" i="10"/>
  <c r="O47" i="10" s="1"/>
  <c r="H47" i="10"/>
  <c r="E47" i="10"/>
  <c r="M46" i="10"/>
  <c r="O46" i="10" s="1"/>
  <c r="H46" i="10"/>
  <c r="E46" i="10"/>
  <c r="M45" i="10"/>
  <c r="O45" i="10" s="1"/>
  <c r="H45" i="10"/>
  <c r="E45" i="10"/>
  <c r="M44" i="10"/>
  <c r="O44" i="10" s="1"/>
  <c r="H44" i="10"/>
  <c r="E44" i="10"/>
  <c r="M43" i="10"/>
  <c r="O43" i="10" s="1"/>
  <c r="H43" i="10"/>
  <c r="E43" i="10"/>
  <c r="M42" i="10"/>
  <c r="O42" i="10" s="1"/>
  <c r="H42" i="10"/>
  <c r="E42" i="10"/>
  <c r="M41" i="10"/>
  <c r="O41" i="10" s="1"/>
  <c r="H41" i="10"/>
  <c r="M40" i="10"/>
  <c r="O40" i="10" s="1"/>
  <c r="H40" i="10"/>
  <c r="M39" i="10"/>
  <c r="O39" i="10" s="1"/>
  <c r="H39" i="10"/>
  <c r="M38" i="10"/>
  <c r="O38" i="10" s="1"/>
  <c r="H38" i="10"/>
  <c r="M37" i="10"/>
  <c r="O37" i="10" s="1"/>
  <c r="H37" i="10"/>
  <c r="M36" i="10"/>
  <c r="O36" i="10" s="1"/>
  <c r="H36" i="10"/>
  <c r="M35" i="10"/>
  <c r="O35" i="10" s="1"/>
  <c r="H35" i="10"/>
  <c r="M34" i="10"/>
  <c r="O34" i="10" s="1"/>
  <c r="H34" i="10"/>
  <c r="M33" i="10"/>
  <c r="O33" i="10" s="1"/>
  <c r="H33" i="10"/>
  <c r="M32" i="10"/>
  <c r="O32" i="10" s="1"/>
  <c r="H32" i="10"/>
  <c r="M31" i="10"/>
  <c r="O31" i="10" s="1"/>
  <c r="H31" i="10"/>
  <c r="M30" i="10"/>
  <c r="O30" i="10" s="1"/>
  <c r="H30" i="10"/>
  <c r="M29" i="10"/>
  <c r="O29" i="10" s="1"/>
  <c r="H29" i="10"/>
  <c r="M28" i="10"/>
  <c r="O28" i="10" s="1"/>
  <c r="H28" i="10"/>
  <c r="M27" i="10"/>
  <c r="O27" i="10" s="1"/>
  <c r="H27" i="10"/>
  <c r="M26" i="10"/>
  <c r="O26" i="10" s="1"/>
  <c r="H26" i="10"/>
  <c r="M25" i="10"/>
  <c r="O25" i="10" s="1"/>
  <c r="H25" i="10"/>
  <c r="M24" i="10"/>
  <c r="O24" i="10" s="1"/>
  <c r="H24" i="10"/>
  <c r="M23" i="10"/>
  <c r="O23" i="10" s="1"/>
  <c r="H23" i="10"/>
  <c r="M22" i="10"/>
  <c r="O22" i="10" s="1"/>
  <c r="H22" i="10"/>
  <c r="M21" i="10"/>
  <c r="O21" i="10" s="1"/>
  <c r="H21" i="10"/>
  <c r="M20" i="10"/>
  <c r="O20" i="10" s="1"/>
  <c r="H20" i="10"/>
  <c r="M19" i="10"/>
  <c r="O19" i="10" s="1"/>
  <c r="H19" i="10"/>
  <c r="M18" i="10"/>
  <c r="O18" i="10" s="1"/>
  <c r="H18" i="10"/>
  <c r="M17" i="10"/>
  <c r="O17" i="10" s="1"/>
  <c r="H17" i="10"/>
  <c r="M16" i="10"/>
  <c r="O16" i="10" s="1"/>
  <c r="H16" i="10"/>
  <c r="M15" i="10"/>
  <c r="O15" i="10" s="1"/>
  <c r="H15" i="10"/>
  <c r="M14" i="10"/>
  <c r="O14" i="10" s="1"/>
  <c r="H14" i="10"/>
  <c r="M13" i="10"/>
  <c r="O13" i="10" s="1"/>
  <c r="H13" i="10"/>
  <c r="M12" i="10"/>
  <c r="O12" i="10" s="1"/>
  <c r="H12" i="10"/>
  <c r="M9" i="10"/>
  <c r="O9" i="10" s="1"/>
  <c r="H9" i="10"/>
  <c r="M3" i="10"/>
  <c r="O3" i="10" s="1"/>
  <c r="H3" i="10"/>
  <c r="M11" i="10"/>
  <c r="O11" i="10" s="1"/>
  <c r="H11" i="10"/>
  <c r="M10" i="10"/>
  <c r="O10" i="10" s="1"/>
  <c r="H10" i="10"/>
  <c r="M5" i="10"/>
  <c r="O5" i="10" s="1"/>
  <c r="H5" i="10"/>
  <c r="M8" i="10"/>
  <c r="O8" i="10" s="1"/>
  <c r="H8" i="10"/>
  <c r="M7" i="10"/>
  <c r="O7" i="10" s="1"/>
  <c r="H7" i="10"/>
  <c r="M6" i="10"/>
  <c r="O6" i="10" s="1"/>
  <c r="H6" i="10"/>
  <c r="M4" i="10"/>
  <c r="O4" i="10" s="1"/>
  <c r="H4" i="10"/>
  <c r="E4" i="10"/>
  <c r="M66" i="9"/>
  <c r="O66" i="9" s="1"/>
  <c r="H66" i="9"/>
  <c r="E66" i="9"/>
  <c r="M65" i="9"/>
  <c r="O65" i="9" s="1"/>
  <c r="H65" i="9"/>
  <c r="E65" i="9"/>
  <c r="M64" i="9"/>
  <c r="O64" i="9" s="1"/>
  <c r="H64" i="9"/>
  <c r="E64" i="9"/>
  <c r="M63" i="9"/>
  <c r="O63" i="9" s="1"/>
  <c r="H63" i="9"/>
  <c r="E63" i="9"/>
  <c r="O62" i="9"/>
  <c r="M62" i="9"/>
  <c r="H62" i="9"/>
  <c r="E62" i="9"/>
  <c r="M61" i="9"/>
  <c r="O61" i="9" s="1"/>
  <c r="H61" i="9"/>
  <c r="E61" i="9"/>
  <c r="M60" i="9"/>
  <c r="O60" i="9" s="1"/>
  <c r="H60" i="9"/>
  <c r="E60" i="9"/>
  <c r="M59" i="9"/>
  <c r="O59" i="9" s="1"/>
  <c r="H59" i="9"/>
  <c r="E59" i="9"/>
  <c r="M58" i="9"/>
  <c r="O58" i="9" s="1"/>
  <c r="H58" i="9"/>
  <c r="E58" i="9"/>
  <c r="M57" i="9"/>
  <c r="O57" i="9" s="1"/>
  <c r="H57" i="9"/>
  <c r="E57" i="9"/>
  <c r="M56" i="9"/>
  <c r="O56" i="9" s="1"/>
  <c r="H56" i="9"/>
  <c r="E56" i="9"/>
  <c r="M55" i="9"/>
  <c r="O55" i="9" s="1"/>
  <c r="H55" i="9"/>
  <c r="E55" i="9"/>
  <c r="M54" i="9"/>
  <c r="O54" i="9" s="1"/>
  <c r="H54" i="9"/>
  <c r="E54" i="9"/>
  <c r="M53" i="9"/>
  <c r="O53" i="9" s="1"/>
  <c r="H53" i="9"/>
  <c r="E53" i="9"/>
  <c r="M52" i="9"/>
  <c r="O52" i="9" s="1"/>
  <c r="H52" i="9"/>
  <c r="E52" i="9"/>
  <c r="M51" i="9"/>
  <c r="O51" i="9" s="1"/>
  <c r="H51" i="9"/>
  <c r="E51" i="9"/>
  <c r="M50" i="9"/>
  <c r="O50" i="9" s="1"/>
  <c r="H50" i="9"/>
  <c r="E50" i="9"/>
  <c r="M49" i="9"/>
  <c r="O49" i="9" s="1"/>
  <c r="H49" i="9"/>
  <c r="E49" i="9"/>
  <c r="M48" i="9"/>
  <c r="O48" i="9" s="1"/>
  <c r="H48" i="9"/>
  <c r="E48" i="9"/>
  <c r="M47" i="9"/>
  <c r="O47" i="9" s="1"/>
  <c r="H47" i="9"/>
  <c r="E47" i="9"/>
  <c r="M46" i="9"/>
  <c r="O46" i="9" s="1"/>
  <c r="H46" i="9"/>
  <c r="E46" i="9"/>
  <c r="M45" i="9"/>
  <c r="O45" i="9" s="1"/>
  <c r="H45" i="9"/>
  <c r="E45" i="9"/>
  <c r="M44" i="9"/>
  <c r="O44" i="9" s="1"/>
  <c r="H44" i="9"/>
  <c r="E44" i="9"/>
  <c r="M43" i="9"/>
  <c r="O43" i="9" s="1"/>
  <c r="H43" i="9"/>
  <c r="E43" i="9"/>
  <c r="O42" i="9"/>
  <c r="M42" i="9"/>
  <c r="H42" i="9"/>
  <c r="M41" i="9"/>
  <c r="O41" i="9" s="1"/>
  <c r="H41" i="9"/>
  <c r="M40" i="9"/>
  <c r="O40" i="9" s="1"/>
  <c r="H40" i="9"/>
  <c r="M39" i="9"/>
  <c r="O39" i="9" s="1"/>
  <c r="H39" i="9"/>
  <c r="M38" i="9"/>
  <c r="O38" i="9" s="1"/>
  <c r="H38" i="9"/>
  <c r="M37" i="9"/>
  <c r="O37" i="9" s="1"/>
  <c r="H37" i="9"/>
  <c r="M36" i="9"/>
  <c r="O36" i="9" s="1"/>
  <c r="H36" i="9"/>
  <c r="M35" i="9"/>
  <c r="O35" i="9" s="1"/>
  <c r="H35" i="9"/>
  <c r="M34" i="9"/>
  <c r="O34" i="9" s="1"/>
  <c r="H34" i="9"/>
  <c r="M33" i="9"/>
  <c r="O33" i="9" s="1"/>
  <c r="H33" i="9"/>
  <c r="M32" i="9"/>
  <c r="O32" i="9" s="1"/>
  <c r="H32" i="9"/>
  <c r="M31" i="9"/>
  <c r="O31" i="9" s="1"/>
  <c r="H31" i="9"/>
  <c r="M30" i="9"/>
  <c r="O30" i="9" s="1"/>
  <c r="H30" i="9"/>
  <c r="M29" i="9"/>
  <c r="O29" i="9" s="1"/>
  <c r="H29" i="9"/>
  <c r="O28" i="9"/>
  <c r="M28" i="9"/>
  <c r="H28" i="9"/>
  <c r="M27" i="9"/>
  <c r="O27" i="9" s="1"/>
  <c r="H27" i="9"/>
  <c r="M26" i="9"/>
  <c r="O26" i="9" s="1"/>
  <c r="H26" i="9"/>
  <c r="M25" i="9"/>
  <c r="O25" i="9" s="1"/>
  <c r="H25" i="9"/>
  <c r="M24" i="9"/>
  <c r="O24" i="9" s="1"/>
  <c r="H24" i="9"/>
  <c r="M23" i="9"/>
  <c r="O23" i="9" s="1"/>
  <c r="H23" i="9"/>
  <c r="M22" i="9"/>
  <c r="O22" i="9" s="1"/>
  <c r="H22" i="9"/>
  <c r="M21" i="9"/>
  <c r="O21" i="9" s="1"/>
  <c r="H21" i="9"/>
  <c r="M20" i="9"/>
  <c r="O20" i="9" s="1"/>
  <c r="H20" i="9"/>
  <c r="M19" i="9"/>
  <c r="O19" i="9" s="1"/>
  <c r="H19" i="9"/>
  <c r="M18" i="9"/>
  <c r="O18" i="9" s="1"/>
  <c r="H18" i="9"/>
  <c r="O17" i="9"/>
  <c r="M17" i="9"/>
  <c r="H17" i="9"/>
  <c r="M16" i="9"/>
  <c r="O16" i="9" s="1"/>
  <c r="H16" i="9"/>
  <c r="M15" i="9"/>
  <c r="O15" i="9" s="1"/>
  <c r="H15" i="9"/>
  <c r="M14" i="9"/>
  <c r="O14" i="9" s="1"/>
  <c r="H14" i="9"/>
  <c r="M13" i="9"/>
  <c r="O13" i="9" s="1"/>
  <c r="H13" i="9"/>
  <c r="M12" i="9"/>
  <c r="O12" i="9" s="1"/>
  <c r="H12" i="9"/>
  <c r="M11" i="9"/>
  <c r="O11" i="9" s="1"/>
  <c r="H11" i="9"/>
  <c r="M10" i="9"/>
  <c r="O10" i="9" s="1"/>
  <c r="H10" i="9"/>
  <c r="M9" i="9"/>
  <c r="O9" i="9" s="1"/>
  <c r="H9" i="9"/>
  <c r="M8" i="9"/>
  <c r="O8" i="9" s="1"/>
  <c r="H8" i="9"/>
  <c r="M4" i="9"/>
  <c r="O4" i="9" s="1"/>
  <c r="H4" i="9"/>
  <c r="M6" i="9"/>
  <c r="O6" i="9" s="1"/>
  <c r="H6" i="9"/>
  <c r="M3" i="9"/>
  <c r="O3" i="9" s="1"/>
  <c r="H3" i="9"/>
  <c r="E3" i="9"/>
  <c r="M77" i="8"/>
  <c r="O77" i="8" s="1"/>
  <c r="H77" i="8"/>
  <c r="E77" i="8"/>
  <c r="M76" i="8"/>
  <c r="O76" i="8" s="1"/>
  <c r="H76" i="8"/>
  <c r="E76" i="8"/>
  <c r="M75" i="8"/>
  <c r="O75" i="8" s="1"/>
  <c r="H75" i="8"/>
  <c r="E75" i="8"/>
  <c r="M74" i="8"/>
  <c r="O74" i="8" s="1"/>
  <c r="H74" i="8"/>
  <c r="E74" i="8"/>
  <c r="M73" i="8"/>
  <c r="O73" i="8" s="1"/>
  <c r="H73" i="8"/>
  <c r="E73" i="8"/>
  <c r="M72" i="8"/>
  <c r="O72" i="8" s="1"/>
  <c r="H72" i="8"/>
  <c r="E72" i="8"/>
  <c r="M71" i="8"/>
  <c r="O71" i="8" s="1"/>
  <c r="H71" i="8"/>
  <c r="E71" i="8"/>
  <c r="M70" i="8"/>
  <c r="O70" i="8" s="1"/>
  <c r="H70" i="8"/>
  <c r="E70" i="8"/>
  <c r="M69" i="8"/>
  <c r="O69" i="8" s="1"/>
  <c r="H69" i="8"/>
  <c r="E69" i="8"/>
  <c r="M68" i="8"/>
  <c r="O68" i="8" s="1"/>
  <c r="H68" i="8"/>
  <c r="E68" i="8"/>
  <c r="M67" i="8"/>
  <c r="O67" i="8" s="1"/>
  <c r="H67" i="8"/>
  <c r="E67" i="8"/>
  <c r="M66" i="8"/>
  <c r="O66" i="8" s="1"/>
  <c r="H66" i="8"/>
  <c r="E66" i="8"/>
  <c r="M65" i="8"/>
  <c r="O65" i="8" s="1"/>
  <c r="H65" i="8"/>
  <c r="E65" i="8"/>
  <c r="M64" i="8"/>
  <c r="O64" i="8" s="1"/>
  <c r="H64" i="8"/>
  <c r="E64" i="8"/>
  <c r="M63" i="8"/>
  <c r="O63" i="8" s="1"/>
  <c r="H63" i="8"/>
  <c r="E63" i="8"/>
  <c r="M62" i="8"/>
  <c r="O62" i="8" s="1"/>
  <c r="H62" i="8"/>
  <c r="E62" i="8"/>
  <c r="M61" i="8"/>
  <c r="O61" i="8" s="1"/>
  <c r="H61" i="8"/>
  <c r="E61" i="8"/>
  <c r="M60" i="8"/>
  <c r="O60" i="8" s="1"/>
  <c r="H60" i="8"/>
  <c r="E60" i="8"/>
  <c r="M59" i="8"/>
  <c r="O59" i="8" s="1"/>
  <c r="H59" i="8"/>
  <c r="E59" i="8"/>
  <c r="M58" i="8"/>
  <c r="O58" i="8" s="1"/>
  <c r="H58" i="8"/>
  <c r="E58" i="8"/>
  <c r="M57" i="8"/>
  <c r="O57" i="8" s="1"/>
  <c r="H57" i="8"/>
  <c r="E57" i="8"/>
  <c r="M56" i="8"/>
  <c r="O56" i="8" s="1"/>
  <c r="H56" i="8"/>
  <c r="E56" i="8"/>
  <c r="M55" i="8"/>
  <c r="O55" i="8" s="1"/>
  <c r="H55" i="8"/>
  <c r="E55" i="8"/>
  <c r="M54" i="8"/>
  <c r="O54" i="8" s="1"/>
  <c r="H54" i="8"/>
  <c r="E54" i="8"/>
  <c r="M53" i="8"/>
  <c r="O53" i="8" s="1"/>
  <c r="H53" i="8"/>
  <c r="E53" i="8"/>
  <c r="M52" i="8"/>
  <c r="O52" i="8" s="1"/>
  <c r="H52" i="8"/>
  <c r="E52" i="8"/>
  <c r="M51" i="8"/>
  <c r="O51" i="8" s="1"/>
  <c r="H51" i="8"/>
  <c r="E51" i="8"/>
  <c r="M50" i="8"/>
  <c r="O50" i="8" s="1"/>
  <c r="H50" i="8"/>
  <c r="E50" i="8"/>
  <c r="M49" i="8"/>
  <c r="O49" i="8" s="1"/>
  <c r="H49" i="8"/>
  <c r="E49" i="8"/>
  <c r="M48" i="8"/>
  <c r="O48" i="8" s="1"/>
  <c r="H48" i="8"/>
  <c r="E48" i="8"/>
  <c r="M47" i="8"/>
  <c r="O47" i="8" s="1"/>
  <c r="H47" i="8"/>
  <c r="E47" i="8"/>
  <c r="M46" i="8"/>
  <c r="O46" i="8" s="1"/>
  <c r="H46" i="8"/>
  <c r="E46" i="8"/>
  <c r="M45" i="8"/>
  <c r="O45" i="8" s="1"/>
  <c r="H45" i="8"/>
  <c r="E45" i="8"/>
  <c r="M44" i="8"/>
  <c r="O44" i="8" s="1"/>
  <c r="H44" i="8"/>
  <c r="E44" i="8"/>
  <c r="M43" i="8"/>
  <c r="O43" i="8" s="1"/>
  <c r="H43" i="8"/>
  <c r="E43" i="8"/>
  <c r="M42" i="8"/>
  <c r="O42" i="8" s="1"/>
  <c r="H42" i="8"/>
  <c r="E42" i="8"/>
  <c r="M41" i="8"/>
  <c r="O41" i="8" s="1"/>
  <c r="H41" i="8"/>
  <c r="E41" i="8"/>
  <c r="M40" i="8"/>
  <c r="O40" i="8" s="1"/>
  <c r="H40" i="8"/>
  <c r="E40" i="8"/>
  <c r="M39" i="8"/>
  <c r="O39" i="8" s="1"/>
  <c r="H39" i="8"/>
  <c r="E39" i="8"/>
  <c r="M38" i="8"/>
  <c r="O38" i="8" s="1"/>
  <c r="H38" i="8"/>
  <c r="E38" i="8"/>
  <c r="M37" i="8"/>
  <c r="O37" i="8" s="1"/>
  <c r="H37" i="8"/>
  <c r="E37" i="8"/>
  <c r="M36" i="8"/>
  <c r="O36" i="8" s="1"/>
  <c r="H36" i="8"/>
  <c r="E36" i="8"/>
  <c r="M35" i="8"/>
  <c r="O35" i="8" s="1"/>
  <c r="H35" i="8"/>
  <c r="E35" i="8"/>
  <c r="M34" i="8"/>
  <c r="O34" i="8" s="1"/>
  <c r="H34" i="8"/>
  <c r="E34" i="8"/>
  <c r="M33" i="8"/>
  <c r="O33" i="8" s="1"/>
  <c r="H33" i="8"/>
  <c r="E33" i="8"/>
  <c r="M32" i="8"/>
  <c r="O32" i="8" s="1"/>
  <c r="H32" i="8"/>
  <c r="E32" i="8"/>
  <c r="M31" i="8"/>
  <c r="O31" i="8" s="1"/>
  <c r="H31" i="8"/>
  <c r="E31" i="8"/>
  <c r="M30" i="8"/>
  <c r="O30" i="8" s="1"/>
  <c r="H30" i="8"/>
  <c r="E30" i="8"/>
  <c r="M29" i="8"/>
  <c r="O29" i="8" s="1"/>
  <c r="H29" i="8"/>
  <c r="E29" i="8"/>
  <c r="M28" i="8"/>
  <c r="O28" i="8" s="1"/>
  <c r="H28" i="8"/>
  <c r="E28" i="8"/>
  <c r="M27" i="8"/>
  <c r="O27" i="8" s="1"/>
  <c r="H27" i="8"/>
  <c r="E27" i="8"/>
  <c r="M26" i="8"/>
  <c r="O26" i="8" s="1"/>
  <c r="H26" i="8"/>
  <c r="E26" i="8"/>
  <c r="M25" i="8"/>
  <c r="O25" i="8" s="1"/>
  <c r="H25" i="8"/>
  <c r="E25" i="8"/>
  <c r="M24" i="8"/>
  <c r="O24" i="8" s="1"/>
  <c r="H24" i="8"/>
  <c r="E24" i="8"/>
  <c r="M23" i="8"/>
  <c r="O23" i="8" s="1"/>
  <c r="H23" i="8"/>
  <c r="E23" i="8"/>
  <c r="M22" i="8"/>
  <c r="O22" i="8" s="1"/>
  <c r="H22" i="8"/>
  <c r="E22" i="8"/>
  <c r="M21" i="8"/>
  <c r="O21" i="8" s="1"/>
  <c r="H21" i="8"/>
  <c r="M18" i="8"/>
  <c r="O18" i="8" s="1"/>
  <c r="H18" i="8"/>
  <c r="M15" i="8"/>
  <c r="O15" i="8" s="1"/>
  <c r="H15" i="8"/>
  <c r="M13" i="8"/>
  <c r="O13" i="8" s="1"/>
  <c r="H13" i="8"/>
  <c r="M11" i="8"/>
  <c r="O11" i="8" s="1"/>
  <c r="H11" i="8"/>
  <c r="M5" i="8"/>
  <c r="O5" i="8" s="1"/>
  <c r="H5" i="8"/>
  <c r="M83" i="7"/>
  <c r="O83" i="7" s="1"/>
  <c r="H83" i="7"/>
  <c r="E83" i="7"/>
  <c r="M82" i="7"/>
  <c r="O82" i="7" s="1"/>
  <c r="H82" i="7"/>
  <c r="E82" i="7"/>
  <c r="M81" i="7"/>
  <c r="O81" i="7" s="1"/>
  <c r="H81" i="7"/>
  <c r="E81" i="7"/>
  <c r="M80" i="7"/>
  <c r="O80" i="7" s="1"/>
  <c r="H80" i="7"/>
  <c r="E80" i="7"/>
  <c r="M79" i="7"/>
  <c r="O79" i="7" s="1"/>
  <c r="H79" i="7"/>
  <c r="E79" i="7"/>
  <c r="M78" i="7"/>
  <c r="O78" i="7" s="1"/>
  <c r="H78" i="7"/>
  <c r="E78" i="7"/>
  <c r="M77" i="7"/>
  <c r="O77" i="7" s="1"/>
  <c r="H77" i="7"/>
  <c r="E77" i="7"/>
  <c r="M76" i="7"/>
  <c r="O76" i="7" s="1"/>
  <c r="H76" i="7"/>
  <c r="E76" i="7"/>
  <c r="M75" i="7"/>
  <c r="O75" i="7" s="1"/>
  <c r="H75" i="7"/>
  <c r="E75" i="7"/>
  <c r="M74" i="7"/>
  <c r="O74" i="7" s="1"/>
  <c r="H74" i="7"/>
  <c r="E74" i="7"/>
  <c r="M73" i="7"/>
  <c r="O73" i="7" s="1"/>
  <c r="H73" i="7"/>
  <c r="E73" i="7"/>
  <c r="M72" i="7"/>
  <c r="O72" i="7" s="1"/>
  <c r="H72" i="7"/>
  <c r="E72" i="7"/>
  <c r="M71" i="7"/>
  <c r="O71" i="7" s="1"/>
  <c r="H71" i="7"/>
  <c r="E71" i="7"/>
  <c r="M70" i="7"/>
  <c r="O70" i="7" s="1"/>
  <c r="H70" i="7"/>
  <c r="E70" i="7"/>
  <c r="M69" i="7"/>
  <c r="O69" i="7" s="1"/>
  <c r="H69" i="7"/>
  <c r="E69" i="7"/>
  <c r="M68" i="7"/>
  <c r="O68" i="7" s="1"/>
  <c r="H68" i="7"/>
  <c r="E68" i="7"/>
  <c r="M67" i="7"/>
  <c r="O67" i="7" s="1"/>
  <c r="H67" i="7"/>
  <c r="E67" i="7"/>
  <c r="M66" i="7"/>
  <c r="O66" i="7" s="1"/>
  <c r="H66" i="7"/>
  <c r="E66" i="7"/>
  <c r="M65" i="7"/>
  <c r="O65" i="7" s="1"/>
  <c r="H65" i="7"/>
  <c r="E65" i="7"/>
  <c r="M64" i="7"/>
  <c r="O64" i="7" s="1"/>
  <c r="H64" i="7"/>
  <c r="E64" i="7"/>
  <c r="M63" i="7"/>
  <c r="O63" i="7" s="1"/>
  <c r="H63" i="7"/>
  <c r="E63" i="7"/>
  <c r="M62" i="7"/>
  <c r="O62" i="7" s="1"/>
  <c r="H62" i="7"/>
  <c r="E62" i="7"/>
  <c r="M61" i="7"/>
  <c r="O61" i="7" s="1"/>
  <c r="H61" i="7"/>
  <c r="E61" i="7"/>
  <c r="M60" i="7"/>
  <c r="O60" i="7" s="1"/>
  <c r="H60" i="7"/>
  <c r="M59" i="7"/>
  <c r="O59" i="7" s="1"/>
  <c r="H59" i="7"/>
  <c r="M58" i="7"/>
  <c r="O58" i="7" s="1"/>
  <c r="H58" i="7"/>
  <c r="M57" i="7"/>
  <c r="O57" i="7" s="1"/>
  <c r="H57" i="7"/>
  <c r="M56" i="7"/>
  <c r="O56" i="7" s="1"/>
  <c r="H56" i="7"/>
  <c r="M55" i="7"/>
  <c r="O55" i="7" s="1"/>
  <c r="H55" i="7"/>
  <c r="M54" i="7"/>
  <c r="O54" i="7" s="1"/>
  <c r="H54" i="7"/>
  <c r="M53" i="7"/>
  <c r="O53" i="7" s="1"/>
  <c r="H53" i="7"/>
  <c r="M52" i="7"/>
  <c r="O52" i="7" s="1"/>
  <c r="H52" i="7"/>
  <c r="M51" i="7"/>
  <c r="O51" i="7" s="1"/>
  <c r="H51" i="7"/>
  <c r="M50" i="7"/>
  <c r="O50" i="7" s="1"/>
  <c r="H50" i="7"/>
  <c r="M49" i="7"/>
  <c r="O49" i="7" s="1"/>
  <c r="H49" i="7"/>
  <c r="M48" i="7"/>
  <c r="O48" i="7" s="1"/>
  <c r="H48" i="7"/>
  <c r="M47" i="7"/>
  <c r="O47" i="7" s="1"/>
  <c r="H47" i="7"/>
  <c r="M46" i="7"/>
  <c r="O46" i="7" s="1"/>
  <c r="H46" i="7"/>
  <c r="M26" i="7"/>
  <c r="O26" i="7" s="1"/>
  <c r="H26" i="7"/>
  <c r="M40" i="7"/>
  <c r="O40" i="7" s="1"/>
  <c r="H40" i="7"/>
  <c r="M7" i="7"/>
  <c r="O7" i="7" s="1"/>
  <c r="H7" i="7"/>
  <c r="M12" i="7"/>
  <c r="O12" i="7" s="1"/>
  <c r="H12" i="7"/>
  <c r="M36" i="7"/>
  <c r="O36" i="7" s="1"/>
  <c r="H36" i="7"/>
  <c r="M13" i="7"/>
  <c r="O13" i="7" s="1"/>
  <c r="H13" i="7"/>
  <c r="M14" i="7"/>
  <c r="O14" i="7" s="1"/>
  <c r="H14" i="7"/>
  <c r="M38" i="7"/>
  <c r="O38" i="7" s="1"/>
  <c r="H38" i="7"/>
  <c r="M44" i="7"/>
  <c r="O44" i="7" s="1"/>
  <c r="H44" i="7"/>
  <c r="M42" i="7"/>
  <c r="O42" i="7" s="1"/>
  <c r="H42" i="7"/>
  <c r="M6" i="7"/>
  <c r="O6" i="7" s="1"/>
  <c r="H6" i="7"/>
  <c r="M19" i="7"/>
  <c r="O19" i="7" s="1"/>
  <c r="H19" i="7"/>
  <c r="M8" i="7"/>
  <c r="O8" i="7" s="1"/>
  <c r="H8" i="7"/>
  <c r="M16" i="7"/>
  <c r="O16" i="7" s="1"/>
  <c r="H16" i="7"/>
  <c r="M31" i="7"/>
  <c r="O31" i="7" s="1"/>
  <c r="H31" i="7"/>
  <c r="M45" i="7"/>
  <c r="O45" i="7" s="1"/>
  <c r="H45" i="7"/>
  <c r="M30" i="7"/>
  <c r="O30" i="7" s="1"/>
  <c r="H30" i="7"/>
  <c r="M21" i="7"/>
  <c r="O21" i="7" s="1"/>
  <c r="H21" i="7"/>
  <c r="M37" i="7"/>
  <c r="O37" i="7" s="1"/>
  <c r="H37" i="7"/>
  <c r="M9" i="7"/>
  <c r="O9" i="7" s="1"/>
  <c r="H9" i="7"/>
  <c r="M15" i="7"/>
  <c r="O15" i="7" s="1"/>
  <c r="H15" i="7"/>
  <c r="M25" i="7"/>
  <c r="O25" i="7" s="1"/>
  <c r="H25" i="7"/>
  <c r="M4" i="7"/>
  <c r="O4" i="7" s="1"/>
  <c r="H4" i="7"/>
  <c r="O32" i="7"/>
  <c r="H32" i="7"/>
  <c r="E32" i="7"/>
  <c r="M88" i="6"/>
  <c r="O88" i="6" s="1"/>
  <c r="H88" i="6"/>
  <c r="E88" i="6"/>
  <c r="M87" i="6"/>
  <c r="O87" i="6" s="1"/>
  <c r="H87" i="6"/>
  <c r="E87" i="6"/>
  <c r="M86" i="6"/>
  <c r="O86" i="6" s="1"/>
  <c r="H86" i="6"/>
  <c r="E86" i="6"/>
  <c r="M85" i="6"/>
  <c r="O85" i="6" s="1"/>
  <c r="H85" i="6"/>
  <c r="E85" i="6"/>
  <c r="M84" i="6"/>
  <c r="O84" i="6" s="1"/>
  <c r="H84" i="6"/>
  <c r="E84" i="6"/>
  <c r="M83" i="6"/>
  <c r="O83" i="6" s="1"/>
  <c r="H83" i="6"/>
  <c r="E83" i="6"/>
  <c r="M82" i="6"/>
  <c r="O82" i="6" s="1"/>
  <c r="H82" i="6"/>
  <c r="E82" i="6"/>
  <c r="M81" i="6"/>
  <c r="O81" i="6" s="1"/>
  <c r="H81" i="6"/>
  <c r="E81" i="6"/>
  <c r="M80" i="6"/>
  <c r="O80" i="6" s="1"/>
  <c r="H80" i="6"/>
  <c r="E80" i="6"/>
  <c r="M79" i="6"/>
  <c r="O79" i="6" s="1"/>
  <c r="H79" i="6"/>
  <c r="E79" i="6"/>
  <c r="M78" i="6"/>
  <c r="O78" i="6" s="1"/>
  <c r="H78" i="6"/>
  <c r="E78" i="6"/>
  <c r="M77" i="6"/>
  <c r="O77" i="6" s="1"/>
  <c r="H77" i="6"/>
  <c r="E77" i="6"/>
  <c r="M76" i="6"/>
  <c r="O76" i="6" s="1"/>
  <c r="H76" i="6"/>
  <c r="E76" i="6"/>
  <c r="M75" i="6"/>
  <c r="O75" i="6" s="1"/>
  <c r="H75" i="6"/>
  <c r="E75" i="6"/>
  <c r="M74" i="6"/>
  <c r="O74" i="6" s="1"/>
  <c r="H74" i="6"/>
  <c r="E74" i="6"/>
  <c r="M73" i="6"/>
  <c r="O73" i="6" s="1"/>
  <c r="H73" i="6"/>
  <c r="E73" i="6"/>
  <c r="M72" i="6"/>
  <c r="O72" i="6" s="1"/>
  <c r="H72" i="6"/>
  <c r="E72" i="6"/>
  <c r="M71" i="6"/>
  <c r="O71" i="6" s="1"/>
  <c r="H71" i="6"/>
  <c r="E71" i="6"/>
  <c r="M70" i="6"/>
  <c r="O70" i="6" s="1"/>
  <c r="H70" i="6"/>
  <c r="E70" i="6"/>
  <c r="M69" i="6"/>
  <c r="O69" i="6" s="1"/>
  <c r="H69" i="6"/>
  <c r="E69" i="6"/>
  <c r="M68" i="6"/>
  <c r="O68" i="6" s="1"/>
  <c r="H68" i="6"/>
  <c r="E68" i="6"/>
  <c r="M67" i="6"/>
  <c r="O67" i="6" s="1"/>
  <c r="H67" i="6"/>
  <c r="E67" i="6"/>
  <c r="M66" i="6"/>
  <c r="O66" i="6" s="1"/>
  <c r="H66" i="6"/>
  <c r="E66" i="6"/>
  <c r="M65" i="6"/>
  <c r="O65" i="6" s="1"/>
  <c r="H65" i="6"/>
  <c r="M64" i="6"/>
  <c r="O64" i="6" s="1"/>
  <c r="H64" i="6"/>
  <c r="M63" i="6"/>
  <c r="O63" i="6" s="1"/>
  <c r="H63" i="6"/>
  <c r="M62" i="6"/>
  <c r="O62" i="6" s="1"/>
  <c r="H62" i="6"/>
  <c r="M61" i="6"/>
  <c r="O61" i="6" s="1"/>
  <c r="H61" i="6"/>
  <c r="M60" i="6"/>
  <c r="O60" i="6" s="1"/>
  <c r="H60" i="6"/>
  <c r="M59" i="6"/>
  <c r="O59" i="6" s="1"/>
  <c r="M58" i="6"/>
  <c r="O58" i="6" s="1"/>
  <c r="H58" i="6"/>
  <c r="M57" i="6"/>
  <c r="O57" i="6" s="1"/>
  <c r="H57" i="6"/>
  <c r="M56" i="6"/>
  <c r="O56" i="6" s="1"/>
  <c r="H56" i="6"/>
  <c r="M55" i="6"/>
  <c r="O55" i="6" s="1"/>
  <c r="H55" i="6"/>
  <c r="M54" i="6"/>
  <c r="O54" i="6" s="1"/>
  <c r="H54" i="6"/>
  <c r="M53" i="6"/>
  <c r="O53" i="6" s="1"/>
  <c r="H53" i="6"/>
  <c r="M30" i="6"/>
  <c r="O30" i="6" s="1"/>
  <c r="H30" i="6"/>
  <c r="M52" i="6"/>
  <c r="O52" i="6" s="1"/>
  <c r="H52" i="6"/>
  <c r="M7" i="6"/>
  <c r="O7" i="6" s="1"/>
  <c r="H7" i="6"/>
  <c r="M16" i="6"/>
  <c r="O16" i="6" s="1"/>
  <c r="H16" i="6"/>
  <c r="M49" i="6"/>
  <c r="O49" i="6" s="1"/>
  <c r="H49" i="6"/>
  <c r="M10" i="6"/>
  <c r="O10" i="6" s="1"/>
  <c r="H10" i="6"/>
  <c r="M17" i="6"/>
  <c r="O17" i="6" s="1"/>
  <c r="H17" i="6"/>
  <c r="M12" i="6"/>
  <c r="O12" i="6" s="1"/>
  <c r="H12" i="6"/>
  <c r="M47" i="6"/>
  <c r="O47" i="6" s="1"/>
  <c r="H47" i="6"/>
  <c r="M8" i="6"/>
  <c r="O8" i="6" s="1"/>
  <c r="H8" i="6"/>
  <c r="M51" i="6"/>
  <c r="O51" i="6" s="1"/>
  <c r="H51" i="6"/>
  <c r="M29" i="6"/>
  <c r="O29" i="6" s="1"/>
  <c r="H29" i="6"/>
  <c r="M39" i="6"/>
  <c r="O39" i="6" s="1"/>
  <c r="H39" i="6"/>
  <c r="M42" i="6"/>
  <c r="O42" i="6" s="1"/>
  <c r="H42" i="6"/>
  <c r="M48" i="6"/>
  <c r="O48" i="6" s="1"/>
  <c r="H48" i="6"/>
  <c r="M41" i="6"/>
  <c r="O41" i="6" s="1"/>
  <c r="H41" i="6"/>
  <c r="M23" i="6"/>
  <c r="O23" i="6" s="1"/>
  <c r="H23" i="6"/>
  <c r="M28" i="6"/>
  <c r="O28" i="6" s="1"/>
  <c r="H28" i="6"/>
  <c r="M19" i="6"/>
  <c r="O19" i="6" s="1"/>
  <c r="H19" i="6"/>
  <c r="M36" i="6"/>
  <c r="O36" i="6" s="1"/>
  <c r="H36" i="6"/>
  <c r="M27" i="6"/>
  <c r="O27" i="6" s="1"/>
  <c r="H27" i="6"/>
  <c r="M40" i="6"/>
  <c r="O40" i="6" s="1"/>
  <c r="H40" i="6"/>
  <c r="M20" i="6"/>
  <c r="O20" i="6" s="1"/>
  <c r="H20" i="6"/>
  <c r="M9" i="6"/>
  <c r="O9" i="6" s="1"/>
  <c r="H9" i="6"/>
  <c r="M22" i="6"/>
  <c r="O22" i="6" s="1"/>
  <c r="H22" i="6"/>
  <c r="E22" i="6"/>
  <c r="M88" i="5"/>
  <c r="O88" i="5" s="1"/>
  <c r="H88" i="5"/>
  <c r="E88" i="5"/>
  <c r="M87" i="5"/>
  <c r="O87" i="5" s="1"/>
  <c r="H87" i="5"/>
  <c r="E87" i="5"/>
  <c r="M86" i="5"/>
  <c r="O86" i="5" s="1"/>
  <c r="H86" i="5"/>
  <c r="E86" i="5"/>
  <c r="M85" i="5"/>
  <c r="O85" i="5" s="1"/>
  <c r="H85" i="5"/>
  <c r="E85" i="5"/>
  <c r="M84" i="5"/>
  <c r="O84" i="5" s="1"/>
  <c r="H84" i="5"/>
  <c r="E84" i="5"/>
  <c r="M83" i="5"/>
  <c r="O83" i="5" s="1"/>
  <c r="H83" i="5"/>
  <c r="E83" i="5"/>
  <c r="M82" i="5"/>
  <c r="O82" i="5" s="1"/>
  <c r="H82" i="5"/>
  <c r="E82" i="5"/>
  <c r="M81" i="5"/>
  <c r="O81" i="5" s="1"/>
  <c r="H81" i="5"/>
  <c r="E81" i="5"/>
  <c r="M80" i="5"/>
  <c r="O80" i="5" s="1"/>
  <c r="H80" i="5"/>
  <c r="E80" i="5"/>
  <c r="M79" i="5"/>
  <c r="O79" i="5" s="1"/>
  <c r="H79" i="5"/>
  <c r="E79" i="5"/>
  <c r="M78" i="5"/>
  <c r="O78" i="5" s="1"/>
  <c r="H78" i="5"/>
  <c r="E78" i="5"/>
  <c r="M77" i="5"/>
  <c r="O77" i="5" s="1"/>
  <c r="H77" i="5"/>
  <c r="E77" i="5"/>
  <c r="M76" i="5"/>
  <c r="O76" i="5" s="1"/>
  <c r="H76" i="5"/>
  <c r="E76" i="5"/>
  <c r="M75" i="5"/>
  <c r="O75" i="5" s="1"/>
  <c r="H75" i="5"/>
  <c r="E75" i="5"/>
  <c r="M74" i="5"/>
  <c r="O74" i="5" s="1"/>
  <c r="H74" i="5"/>
  <c r="E74" i="5"/>
  <c r="M73" i="5"/>
  <c r="O73" i="5" s="1"/>
  <c r="H73" i="5"/>
  <c r="E73" i="5"/>
  <c r="M72" i="5"/>
  <c r="O72" i="5" s="1"/>
  <c r="H72" i="5"/>
  <c r="E72" i="5"/>
  <c r="M71" i="5"/>
  <c r="O71" i="5" s="1"/>
  <c r="H71" i="5"/>
  <c r="E71" i="5"/>
  <c r="M70" i="5"/>
  <c r="O70" i="5" s="1"/>
  <c r="H70" i="5"/>
  <c r="E70" i="5"/>
  <c r="M69" i="5"/>
  <c r="O69" i="5" s="1"/>
  <c r="H69" i="5"/>
  <c r="E69" i="5"/>
  <c r="M68" i="5"/>
  <c r="O68" i="5" s="1"/>
  <c r="H68" i="5"/>
  <c r="E68" i="5"/>
  <c r="M67" i="5"/>
  <c r="O67" i="5" s="1"/>
  <c r="H67" i="5"/>
  <c r="E67" i="5"/>
  <c r="M66" i="5"/>
  <c r="O66" i="5" s="1"/>
  <c r="H66" i="5"/>
  <c r="E66" i="5"/>
  <c r="M65" i="5"/>
  <c r="O65" i="5" s="1"/>
  <c r="H65" i="5"/>
  <c r="E65" i="5"/>
  <c r="M64" i="5"/>
  <c r="O64" i="5" s="1"/>
  <c r="H64" i="5"/>
  <c r="M15" i="5"/>
  <c r="O15" i="5" s="1"/>
  <c r="H15" i="5"/>
  <c r="M44" i="5"/>
  <c r="O44" i="5" s="1"/>
  <c r="H44" i="5"/>
  <c r="M63" i="5"/>
  <c r="O63" i="5" s="1"/>
  <c r="H63" i="5"/>
  <c r="M12" i="5"/>
  <c r="O12" i="5" s="1"/>
  <c r="H12" i="5"/>
  <c r="M26" i="5"/>
  <c r="O26" i="5" s="1"/>
  <c r="H26" i="5"/>
  <c r="M17" i="5"/>
  <c r="O17" i="5" s="1"/>
  <c r="H17" i="5"/>
  <c r="M39" i="5"/>
  <c r="O39" i="5" s="1"/>
  <c r="H39" i="5"/>
  <c r="M52" i="5"/>
  <c r="O52" i="5" s="1"/>
  <c r="H52" i="5"/>
  <c r="M46" i="5"/>
  <c r="O46" i="5" s="1"/>
  <c r="H46" i="5"/>
  <c r="M19" i="5"/>
  <c r="O19" i="5" s="1"/>
  <c r="H19" i="5"/>
  <c r="M58" i="5"/>
  <c r="O58" i="5" s="1"/>
  <c r="H58" i="5"/>
  <c r="M22" i="5"/>
  <c r="O22" i="5" s="1"/>
  <c r="H22" i="5"/>
  <c r="M31" i="5"/>
  <c r="O31" i="5" s="1"/>
  <c r="H31" i="5"/>
  <c r="M23" i="5"/>
  <c r="O23" i="5" s="1"/>
  <c r="H23" i="5"/>
  <c r="M32" i="5"/>
  <c r="O32" i="5" s="1"/>
  <c r="H32" i="5"/>
  <c r="M24" i="5"/>
  <c r="O24" i="5" s="1"/>
  <c r="H24" i="5"/>
  <c r="M35" i="5"/>
  <c r="O35" i="5" s="1"/>
  <c r="H35" i="5"/>
  <c r="M41" i="5"/>
  <c r="O41" i="5" s="1"/>
  <c r="H41" i="5"/>
  <c r="M20" i="5"/>
  <c r="O20" i="5" s="1"/>
  <c r="H20" i="5"/>
  <c r="M30" i="5"/>
  <c r="O30" i="5" s="1"/>
  <c r="H30" i="5"/>
  <c r="M55" i="5"/>
  <c r="H54" i="5"/>
  <c r="M45" i="5"/>
  <c r="O45" i="5" s="1"/>
  <c r="H45" i="5"/>
  <c r="M61" i="5"/>
  <c r="O61" i="5" s="1"/>
  <c r="H61" i="5"/>
  <c r="M43" i="5"/>
  <c r="O43" i="5" s="1"/>
  <c r="H43" i="5"/>
  <c r="M51" i="5"/>
  <c r="O51" i="5" s="1"/>
  <c r="H51" i="5"/>
  <c r="M50" i="5"/>
  <c r="O50" i="5" s="1"/>
  <c r="H50" i="5"/>
  <c r="M18" i="5"/>
  <c r="O18" i="5" s="1"/>
  <c r="H18" i="5"/>
  <c r="M6" i="5"/>
  <c r="O6" i="5" s="1"/>
  <c r="H6" i="5"/>
  <c r="M3" i="5"/>
  <c r="O3" i="5" s="1"/>
  <c r="H3" i="5"/>
  <c r="M40" i="5"/>
  <c r="O40" i="5" s="1"/>
  <c r="H40" i="5"/>
  <c r="M60" i="5"/>
  <c r="O60" i="5" s="1"/>
  <c r="H60" i="5"/>
  <c r="M56" i="5"/>
  <c r="O56" i="5" s="1"/>
  <c r="H56" i="5"/>
  <c r="M21" i="5"/>
  <c r="O21" i="5" s="1"/>
  <c r="H21" i="5"/>
  <c r="M47" i="5"/>
  <c r="O47" i="5" s="1"/>
  <c r="H47" i="5"/>
  <c r="M9" i="5"/>
  <c r="O9" i="5" s="1"/>
  <c r="H9" i="5"/>
  <c r="M37" i="5"/>
  <c r="O37" i="5" s="1"/>
  <c r="H37" i="5"/>
  <c r="M7" i="5"/>
  <c r="O7" i="5" s="1"/>
  <c r="H7" i="5"/>
  <c r="E7" i="5"/>
  <c r="M86" i="4"/>
  <c r="O86" i="4" s="1"/>
  <c r="H86" i="4"/>
  <c r="E86" i="4"/>
  <c r="M85" i="4"/>
  <c r="O85" i="4" s="1"/>
  <c r="H85" i="4"/>
  <c r="E85" i="4"/>
  <c r="M84" i="4"/>
  <c r="O84" i="4" s="1"/>
  <c r="H84" i="4"/>
  <c r="E84" i="4"/>
  <c r="M83" i="4"/>
  <c r="O83" i="4" s="1"/>
  <c r="H83" i="4"/>
  <c r="E83" i="4"/>
  <c r="M82" i="4"/>
  <c r="O82" i="4" s="1"/>
  <c r="H82" i="4"/>
  <c r="M81" i="4"/>
  <c r="O81" i="4" s="1"/>
  <c r="H81" i="4"/>
  <c r="M80" i="4"/>
  <c r="O80" i="4" s="1"/>
  <c r="H80" i="4"/>
  <c r="M79" i="4"/>
  <c r="O79" i="4" s="1"/>
  <c r="H79" i="4"/>
  <c r="M78" i="4"/>
  <c r="O78" i="4" s="1"/>
  <c r="H78" i="4"/>
  <c r="M77" i="4"/>
  <c r="O77" i="4" s="1"/>
  <c r="H77" i="4"/>
  <c r="M76" i="4"/>
  <c r="O76" i="4" s="1"/>
  <c r="H76" i="4"/>
  <c r="M75" i="4"/>
  <c r="O75" i="4" s="1"/>
  <c r="H75" i="4"/>
  <c r="M74" i="4"/>
  <c r="O74" i="4" s="1"/>
  <c r="H74" i="4"/>
  <c r="M73" i="4"/>
  <c r="O73" i="4" s="1"/>
  <c r="H73" i="4"/>
  <c r="M72" i="4"/>
  <c r="O72" i="4" s="1"/>
  <c r="H72" i="4"/>
  <c r="M71" i="4"/>
  <c r="O71" i="4" s="1"/>
  <c r="H71" i="4"/>
  <c r="M70" i="4"/>
  <c r="O70" i="4" s="1"/>
  <c r="H70" i="4"/>
  <c r="M69" i="4"/>
  <c r="O69" i="4" s="1"/>
  <c r="H69" i="4"/>
  <c r="M68" i="4"/>
  <c r="O68" i="4" s="1"/>
  <c r="H68" i="4"/>
  <c r="M67" i="4"/>
  <c r="O67" i="4" s="1"/>
  <c r="H67" i="4"/>
  <c r="M66" i="4"/>
  <c r="O66" i="4" s="1"/>
  <c r="H66" i="4"/>
  <c r="M65" i="4"/>
  <c r="O65" i="4" s="1"/>
  <c r="H65" i="4"/>
  <c r="M64" i="4"/>
  <c r="O64" i="4" s="1"/>
  <c r="H64" i="4"/>
  <c r="M63" i="4"/>
  <c r="O63" i="4" s="1"/>
  <c r="H63" i="4"/>
  <c r="M47" i="4"/>
  <c r="O47" i="4" s="1"/>
  <c r="H47" i="4"/>
  <c r="M36" i="4"/>
  <c r="O36" i="4" s="1"/>
  <c r="H36" i="4"/>
  <c r="M57" i="4"/>
  <c r="O57" i="4" s="1"/>
  <c r="H57" i="4"/>
  <c r="M51" i="4"/>
  <c r="O51" i="4" s="1"/>
  <c r="H51" i="4"/>
  <c r="M33" i="4"/>
  <c r="O33" i="4" s="1"/>
  <c r="H33" i="4"/>
  <c r="M11" i="4"/>
  <c r="O11" i="4" s="1"/>
  <c r="H11" i="4"/>
  <c r="M31" i="4"/>
  <c r="O31" i="4" s="1"/>
  <c r="H31" i="4"/>
  <c r="M58" i="4"/>
  <c r="O58" i="4" s="1"/>
  <c r="H58" i="4"/>
  <c r="E58" i="4"/>
  <c r="M38" i="4"/>
  <c r="O38" i="4" s="1"/>
  <c r="H38" i="4"/>
  <c r="M27" i="4"/>
  <c r="O27" i="4" s="1"/>
  <c r="H27" i="4"/>
  <c r="M29" i="4"/>
  <c r="O29" i="4" s="1"/>
  <c r="H29" i="4"/>
  <c r="M21" i="4"/>
  <c r="O21" i="4" s="1"/>
  <c r="H21" i="4"/>
  <c r="M37" i="4"/>
  <c r="O37" i="4" s="1"/>
  <c r="H37" i="4"/>
  <c r="M61" i="4"/>
  <c r="O61" i="4" s="1"/>
  <c r="H61" i="4"/>
  <c r="M24" i="4"/>
  <c r="O24" i="4" s="1"/>
  <c r="H24" i="4"/>
  <c r="M45" i="4"/>
  <c r="O45" i="4" s="1"/>
  <c r="H45" i="4"/>
  <c r="M56" i="4"/>
  <c r="O56" i="4" s="1"/>
  <c r="H56" i="4"/>
  <c r="M52" i="4"/>
  <c r="O52" i="4" s="1"/>
  <c r="H52" i="4"/>
  <c r="M60" i="4"/>
  <c r="O60" i="4" s="1"/>
  <c r="H60" i="4"/>
  <c r="M44" i="4"/>
  <c r="O44" i="4" s="1"/>
  <c r="H44" i="4"/>
  <c r="M16" i="4"/>
  <c r="O16" i="4" s="1"/>
  <c r="H16" i="4"/>
  <c r="M12" i="4"/>
  <c r="O12" i="4" s="1"/>
  <c r="H12" i="4"/>
  <c r="M20" i="4"/>
  <c r="O20" i="4" s="1"/>
  <c r="H20" i="4"/>
  <c r="M59" i="4"/>
  <c r="O59" i="4" s="1"/>
  <c r="H59" i="4"/>
  <c r="M55" i="4"/>
  <c r="O55" i="4" s="1"/>
  <c r="H55" i="4"/>
  <c r="M46" i="4"/>
  <c r="O46" i="4" s="1"/>
  <c r="H46" i="4"/>
  <c r="M30" i="4"/>
  <c r="O30" i="4" s="1"/>
  <c r="H30" i="4"/>
  <c r="M54" i="4"/>
  <c r="O54" i="4" s="1"/>
  <c r="H54" i="4"/>
  <c r="M4" i="4"/>
  <c r="O4" i="4" s="1"/>
  <c r="H4" i="4"/>
  <c r="H25" i="4"/>
  <c r="M5" i="4"/>
  <c r="O5" i="4" s="1"/>
  <c r="H5" i="4"/>
  <c r="M26" i="4"/>
  <c r="O26" i="4" s="1"/>
  <c r="H26" i="4"/>
  <c r="M41" i="4"/>
  <c r="O41" i="4" s="1"/>
  <c r="H41" i="4"/>
  <c r="M43" i="4"/>
  <c r="O43" i="4" s="1"/>
  <c r="H43" i="4"/>
  <c r="M28" i="4"/>
  <c r="O28" i="4" s="1"/>
  <c r="H28" i="4"/>
  <c r="M53" i="4"/>
  <c r="O53" i="4" s="1"/>
  <c r="H53" i="4"/>
  <c r="M39" i="4"/>
  <c r="O39" i="4" s="1"/>
  <c r="H39" i="4"/>
  <c r="M7" i="4"/>
  <c r="O7" i="4" s="1"/>
  <c r="H7" i="4"/>
  <c r="E7" i="4"/>
  <c r="M88" i="3"/>
  <c r="O88" i="3" s="1"/>
  <c r="H88" i="3"/>
  <c r="E88" i="3"/>
  <c r="M87" i="3"/>
  <c r="O87" i="3" s="1"/>
  <c r="H87" i="3"/>
  <c r="E87" i="3"/>
  <c r="M86" i="3"/>
  <c r="O86" i="3" s="1"/>
  <c r="H86" i="3"/>
  <c r="E86" i="3"/>
  <c r="M85" i="3"/>
  <c r="O85" i="3" s="1"/>
  <c r="H85" i="3"/>
  <c r="E85" i="3"/>
  <c r="M84" i="3"/>
  <c r="O84" i="3" s="1"/>
  <c r="H84" i="3"/>
  <c r="E84" i="3"/>
  <c r="M83" i="3"/>
  <c r="O83" i="3" s="1"/>
  <c r="H83" i="3"/>
  <c r="E83" i="3"/>
  <c r="M82" i="3"/>
  <c r="O82" i="3" s="1"/>
  <c r="H82" i="3"/>
  <c r="E82" i="3"/>
  <c r="M81" i="3"/>
  <c r="O81" i="3" s="1"/>
  <c r="H81" i="3"/>
  <c r="E81" i="3"/>
  <c r="M80" i="3"/>
  <c r="O80" i="3" s="1"/>
  <c r="H80" i="3"/>
  <c r="E80" i="3"/>
  <c r="M79" i="3"/>
  <c r="O79" i="3" s="1"/>
  <c r="H79" i="3"/>
  <c r="E79" i="3"/>
  <c r="M78" i="3"/>
  <c r="O78" i="3" s="1"/>
  <c r="H78" i="3"/>
  <c r="E78" i="3"/>
  <c r="M77" i="3"/>
  <c r="O77" i="3" s="1"/>
  <c r="H77" i="3"/>
  <c r="E77" i="3"/>
  <c r="M76" i="3"/>
  <c r="O76" i="3" s="1"/>
  <c r="H76" i="3"/>
  <c r="E76" i="3"/>
  <c r="M75" i="3"/>
  <c r="O75" i="3" s="1"/>
  <c r="H75" i="3"/>
  <c r="E75" i="3"/>
  <c r="M74" i="3"/>
  <c r="O74" i="3" s="1"/>
  <c r="H74" i="3"/>
  <c r="E74" i="3"/>
  <c r="M73" i="3"/>
  <c r="O73" i="3" s="1"/>
  <c r="H73" i="3"/>
  <c r="E73" i="3"/>
  <c r="M72" i="3"/>
  <c r="O72" i="3" s="1"/>
  <c r="H72" i="3"/>
  <c r="E72" i="3"/>
  <c r="M71" i="3"/>
  <c r="O71" i="3" s="1"/>
  <c r="H71" i="3"/>
  <c r="E71" i="3"/>
  <c r="M70" i="3"/>
  <c r="O70" i="3" s="1"/>
  <c r="H70" i="3"/>
  <c r="E70" i="3"/>
  <c r="M69" i="3"/>
  <c r="O69" i="3" s="1"/>
  <c r="H69" i="3"/>
  <c r="E69" i="3"/>
  <c r="M68" i="3"/>
  <c r="O68" i="3" s="1"/>
  <c r="H68" i="3"/>
  <c r="E68" i="3"/>
  <c r="M67" i="3"/>
  <c r="O67" i="3" s="1"/>
  <c r="H67" i="3"/>
  <c r="E67" i="3"/>
  <c r="M66" i="3"/>
  <c r="O66" i="3" s="1"/>
  <c r="H66" i="3"/>
  <c r="E66" i="3"/>
  <c r="M65" i="3"/>
  <c r="O65" i="3" s="1"/>
  <c r="H65" i="3"/>
  <c r="E65" i="3"/>
  <c r="M64" i="3"/>
  <c r="O64" i="3" s="1"/>
  <c r="H64" i="3"/>
  <c r="E64" i="3"/>
  <c r="M63" i="3"/>
  <c r="O63" i="3" s="1"/>
  <c r="H63" i="3"/>
  <c r="E63" i="3"/>
  <c r="M62" i="3"/>
  <c r="O62" i="3" s="1"/>
  <c r="H62" i="3"/>
  <c r="E62" i="3"/>
  <c r="M61" i="3"/>
  <c r="O61" i="3" s="1"/>
  <c r="H61" i="3"/>
  <c r="M60" i="3"/>
  <c r="O60" i="3" s="1"/>
  <c r="H60" i="3"/>
  <c r="M59" i="3"/>
  <c r="O59" i="3" s="1"/>
  <c r="H59" i="3"/>
  <c r="M58" i="3"/>
  <c r="O58" i="3" s="1"/>
  <c r="H58" i="3"/>
  <c r="M57" i="3"/>
  <c r="O57" i="3" s="1"/>
  <c r="H57" i="3"/>
  <c r="M56" i="3"/>
  <c r="O56" i="3" s="1"/>
  <c r="H56" i="3"/>
  <c r="M55" i="3"/>
  <c r="O55" i="3" s="1"/>
  <c r="H55" i="3"/>
  <c r="M54" i="3"/>
  <c r="O54" i="3" s="1"/>
  <c r="H54" i="3"/>
  <c r="M53" i="3"/>
  <c r="O53" i="3" s="1"/>
  <c r="H53" i="3"/>
  <c r="M52" i="3"/>
  <c r="O52" i="3" s="1"/>
  <c r="H52" i="3"/>
  <c r="M51" i="3"/>
  <c r="O51" i="3" s="1"/>
  <c r="H51" i="3"/>
  <c r="M19" i="3"/>
  <c r="O19" i="3" s="1"/>
  <c r="H19" i="3"/>
  <c r="M24" i="3"/>
  <c r="O24" i="3" s="1"/>
  <c r="H24" i="3"/>
  <c r="M21" i="3"/>
  <c r="O21" i="3" s="1"/>
  <c r="H21" i="3"/>
  <c r="M9" i="3"/>
  <c r="O9" i="3" s="1"/>
  <c r="M25" i="3"/>
  <c r="O25" i="3" s="1"/>
  <c r="H25" i="3"/>
  <c r="M29" i="3"/>
  <c r="O29" i="3" s="1"/>
  <c r="H29" i="3"/>
  <c r="M11" i="3"/>
  <c r="O11" i="3" s="1"/>
  <c r="H11" i="3"/>
  <c r="M26" i="3"/>
  <c r="O26" i="3" s="1"/>
  <c r="H26" i="3"/>
  <c r="M20" i="3"/>
  <c r="O20" i="3" s="1"/>
  <c r="H20" i="3"/>
  <c r="M37" i="3"/>
  <c r="O37" i="3" s="1"/>
  <c r="H37" i="3"/>
  <c r="M45" i="3"/>
  <c r="O45" i="3" s="1"/>
  <c r="H45" i="3"/>
  <c r="M30" i="3"/>
  <c r="O30" i="3" s="1"/>
  <c r="H30" i="3"/>
  <c r="M7" i="3"/>
  <c r="O7" i="3" s="1"/>
  <c r="H7" i="3"/>
  <c r="M3" i="3"/>
  <c r="O3" i="3" s="1"/>
  <c r="H3" i="3"/>
  <c r="M22" i="3"/>
  <c r="O22" i="3" s="1"/>
  <c r="H22" i="3"/>
  <c r="M18" i="3"/>
  <c r="O18" i="3" s="1"/>
  <c r="H18" i="3"/>
  <c r="M31" i="3"/>
  <c r="O31" i="3" s="1"/>
  <c r="H31" i="3"/>
  <c r="M32" i="3"/>
  <c r="O32" i="3" s="1"/>
  <c r="H32" i="3"/>
  <c r="M40" i="3"/>
  <c r="O40" i="3" s="1"/>
  <c r="H40" i="3"/>
  <c r="M27" i="3"/>
  <c r="O27" i="3" s="1"/>
  <c r="H27" i="3"/>
  <c r="M14" i="3"/>
  <c r="O14" i="3" s="1"/>
  <c r="H14" i="3"/>
  <c r="M48" i="3"/>
  <c r="O48" i="3" s="1"/>
  <c r="H48" i="3"/>
  <c r="M42" i="3"/>
  <c r="O42" i="3" s="1"/>
  <c r="H42" i="3"/>
  <c r="E42" i="3"/>
  <c r="M70" i="2"/>
  <c r="O70" i="2" s="1"/>
  <c r="H70" i="2"/>
  <c r="E70" i="2"/>
  <c r="M69" i="2"/>
  <c r="O69" i="2" s="1"/>
  <c r="H69" i="2"/>
  <c r="E69" i="2"/>
  <c r="M68" i="2"/>
  <c r="O68" i="2" s="1"/>
  <c r="H68" i="2"/>
  <c r="E68" i="2"/>
  <c r="M67" i="2"/>
  <c r="O67" i="2" s="1"/>
  <c r="H67" i="2"/>
  <c r="E67" i="2"/>
  <c r="M66" i="2"/>
  <c r="O66" i="2" s="1"/>
  <c r="H66" i="2"/>
  <c r="E66" i="2"/>
  <c r="M65" i="2"/>
  <c r="O65" i="2" s="1"/>
  <c r="H65" i="2"/>
  <c r="E65" i="2"/>
  <c r="M64" i="2"/>
  <c r="O64" i="2" s="1"/>
  <c r="H64" i="2"/>
  <c r="E64" i="2"/>
  <c r="M63" i="2"/>
  <c r="O63" i="2" s="1"/>
  <c r="H63" i="2"/>
  <c r="E63" i="2"/>
  <c r="M62" i="2"/>
  <c r="O62" i="2" s="1"/>
  <c r="H62" i="2"/>
  <c r="E62" i="2"/>
  <c r="M61" i="2"/>
  <c r="O61" i="2" s="1"/>
  <c r="H61" i="2"/>
  <c r="E61" i="2"/>
  <c r="M60" i="2"/>
  <c r="O60" i="2" s="1"/>
  <c r="H60" i="2"/>
  <c r="E60" i="2"/>
  <c r="M59" i="2"/>
  <c r="O59" i="2" s="1"/>
  <c r="H59" i="2"/>
  <c r="E59" i="2"/>
  <c r="M58" i="2"/>
  <c r="O58" i="2" s="1"/>
  <c r="H58" i="2"/>
  <c r="E58" i="2"/>
  <c r="M57" i="2"/>
  <c r="O57" i="2" s="1"/>
  <c r="H57" i="2"/>
  <c r="E57" i="2"/>
  <c r="M56" i="2"/>
  <c r="O56" i="2" s="1"/>
  <c r="H56" i="2"/>
  <c r="E56" i="2"/>
  <c r="M55" i="2"/>
  <c r="O55" i="2" s="1"/>
  <c r="H55" i="2"/>
  <c r="E55" i="2"/>
  <c r="M54" i="2"/>
  <c r="O54" i="2" s="1"/>
  <c r="H54" i="2"/>
  <c r="E54" i="2"/>
  <c r="M53" i="2"/>
  <c r="O53" i="2" s="1"/>
  <c r="H53" i="2"/>
  <c r="E53" i="2"/>
  <c r="M52" i="2"/>
  <c r="O52" i="2" s="1"/>
  <c r="H52" i="2"/>
  <c r="E52" i="2"/>
  <c r="M51" i="2"/>
  <c r="O51" i="2" s="1"/>
  <c r="H51" i="2"/>
  <c r="E51" i="2"/>
  <c r="M50" i="2"/>
  <c r="O50" i="2" s="1"/>
  <c r="H50" i="2"/>
  <c r="E50" i="2"/>
  <c r="M49" i="2"/>
  <c r="O49" i="2" s="1"/>
  <c r="H49" i="2"/>
  <c r="E49" i="2"/>
  <c r="M48" i="2"/>
  <c r="O48" i="2" s="1"/>
  <c r="H48" i="2"/>
  <c r="E48" i="2"/>
  <c r="M47" i="2"/>
  <c r="O47" i="2" s="1"/>
  <c r="H47" i="2"/>
  <c r="E47" i="2"/>
  <c r="M46" i="2"/>
  <c r="O46" i="2" s="1"/>
  <c r="H46" i="2"/>
  <c r="E46" i="2"/>
  <c r="M45" i="2"/>
  <c r="O45" i="2" s="1"/>
  <c r="H45" i="2"/>
  <c r="E45" i="2"/>
  <c r="M44" i="2"/>
  <c r="O44" i="2" s="1"/>
  <c r="H44" i="2"/>
  <c r="E44" i="2"/>
  <c r="M43" i="2"/>
  <c r="O43" i="2" s="1"/>
  <c r="H43" i="2"/>
  <c r="E43" i="2"/>
  <c r="M42" i="2"/>
  <c r="O42" i="2" s="1"/>
  <c r="H42" i="2"/>
  <c r="E42" i="2"/>
  <c r="M41" i="2"/>
  <c r="O41" i="2" s="1"/>
  <c r="H41" i="2"/>
  <c r="E41" i="2"/>
  <c r="M40" i="2"/>
  <c r="O40" i="2" s="1"/>
  <c r="H40" i="2"/>
  <c r="E40" i="2"/>
  <c r="M39" i="2"/>
  <c r="O39" i="2" s="1"/>
  <c r="H39" i="2"/>
  <c r="E39" i="2"/>
  <c r="M38" i="2"/>
  <c r="O38" i="2" s="1"/>
  <c r="H38" i="2"/>
  <c r="E38" i="2"/>
  <c r="M37" i="2"/>
  <c r="O37" i="2" s="1"/>
  <c r="H37" i="2"/>
  <c r="E37" i="2"/>
  <c r="M36" i="2"/>
  <c r="O36" i="2" s="1"/>
  <c r="H36" i="2"/>
  <c r="E36" i="2"/>
  <c r="M35" i="2"/>
  <c r="O35" i="2" s="1"/>
  <c r="H35" i="2"/>
  <c r="E35" i="2"/>
  <c r="M34" i="2"/>
  <c r="O34" i="2" s="1"/>
  <c r="H34" i="2"/>
  <c r="E34" i="2"/>
  <c r="M33" i="2"/>
  <c r="O33" i="2" s="1"/>
  <c r="H33" i="2"/>
  <c r="E33" i="2"/>
  <c r="M32" i="2"/>
  <c r="O32" i="2" s="1"/>
  <c r="H32" i="2"/>
  <c r="E32" i="2"/>
  <c r="M31" i="2"/>
  <c r="O31" i="2" s="1"/>
  <c r="H31" i="2"/>
  <c r="E31" i="2"/>
  <c r="M30" i="2"/>
  <c r="O30" i="2" s="1"/>
  <c r="H30" i="2"/>
  <c r="E30" i="2"/>
  <c r="M29" i="2"/>
  <c r="O29" i="2" s="1"/>
  <c r="H29" i="2"/>
  <c r="E29" i="2"/>
  <c r="M28" i="2"/>
  <c r="O28" i="2" s="1"/>
  <c r="H28" i="2"/>
  <c r="E28" i="2"/>
  <c r="M27" i="2"/>
  <c r="O27" i="2" s="1"/>
  <c r="H27" i="2"/>
  <c r="E27" i="2"/>
  <c r="M26" i="2"/>
  <c r="O26" i="2" s="1"/>
  <c r="H26" i="2"/>
  <c r="E26" i="2"/>
  <c r="M25" i="2"/>
  <c r="O25" i="2" s="1"/>
  <c r="H25" i="2"/>
  <c r="E25" i="2"/>
  <c r="M24" i="2"/>
  <c r="O24" i="2" s="1"/>
  <c r="H24" i="2"/>
  <c r="E24" i="2"/>
  <c r="M23" i="2"/>
  <c r="O23" i="2" s="1"/>
  <c r="H23" i="2"/>
  <c r="E23" i="2"/>
  <c r="M22" i="2"/>
  <c r="O22" i="2" s="1"/>
  <c r="H22" i="2"/>
  <c r="E22" i="2"/>
  <c r="M21" i="2"/>
  <c r="O21" i="2" s="1"/>
  <c r="H21" i="2"/>
  <c r="E21" i="2"/>
  <c r="M20" i="2"/>
  <c r="O20" i="2" s="1"/>
  <c r="H20" i="2"/>
  <c r="E20" i="2"/>
  <c r="M19" i="2"/>
  <c r="O19" i="2" s="1"/>
  <c r="H19" i="2"/>
  <c r="E19" i="2"/>
  <c r="M18" i="2"/>
  <c r="O18" i="2" s="1"/>
  <c r="H18" i="2"/>
  <c r="E18" i="2"/>
  <c r="M17" i="2"/>
  <c r="O17" i="2" s="1"/>
  <c r="H17" i="2"/>
  <c r="E17" i="2"/>
  <c r="M16" i="2"/>
  <c r="O16" i="2" s="1"/>
  <c r="H16" i="2"/>
  <c r="E16" i="2"/>
  <c r="M13" i="2"/>
  <c r="O13" i="2" s="1"/>
  <c r="H13" i="2"/>
  <c r="E13" i="2"/>
  <c r="M10" i="2"/>
  <c r="O10" i="2" s="1"/>
  <c r="H10" i="2"/>
  <c r="M8" i="2"/>
  <c r="O8" i="2" s="1"/>
  <c r="H8" i="2"/>
  <c r="M6" i="2"/>
  <c r="O6" i="2" s="1"/>
  <c r="H6" i="2"/>
  <c r="M3" i="2"/>
  <c r="O3" i="2" s="1"/>
  <c r="H3" i="2"/>
  <c r="M64" i="1"/>
  <c r="O64" i="1" s="1"/>
  <c r="H64" i="1"/>
  <c r="E64" i="1"/>
  <c r="M63" i="1"/>
  <c r="O63" i="1" s="1"/>
  <c r="H63" i="1"/>
  <c r="E63" i="1"/>
  <c r="M62" i="1"/>
  <c r="O62" i="1" s="1"/>
  <c r="H62" i="1"/>
  <c r="E62" i="1"/>
  <c r="M61" i="1"/>
  <c r="O61" i="1" s="1"/>
  <c r="H61" i="1"/>
  <c r="E61" i="1"/>
  <c r="M60" i="1"/>
  <c r="O60" i="1" s="1"/>
  <c r="H60" i="1"/>
  <c r="E60" i="1"/>
  <c r="M59" i="1"/>
  <c r="O59" i="1" s="1"/>
  <c r="H59" i="1"/>
  <c r="E59" i="1"/>
  <c r="M58" i="1"/>
  <c r="O58" i="1" s="1"/>
  <c r="H58" i="1"/>
  <c r="E58" i="1"/>
  <c r="M57" i="1"/>
  <c r="O57" i="1" s="1"/>
  <c r="H57" i="1"/>
  <c r="E57" i="1"/>
  <c r="M56" i="1"/>
  <c r="O56" i="1" s="1"/>
  <c r="H56" i="1"/>
  <c r="E56" i="1"/>
  <c r="M55" i="1"/>
  <c r="O55" i="1" s="1"/>
  <c r="H55" i="1"/>
  <c r="E55" i="1"/>
  <c r="M54" i="1"/>
  <c r="O54" i="1" s="1"/>
  <c r="H54" i="1"/>
  <c r="E54" i="1"/>
  <c r="M53" i="1"/>
  <c r="O53" i="1" s="1"/>
  <c r="H53" i="1"/>
  <c r="E53" i="1"/>
  <c r="M52" i="1"/>
  <c r="O52" i="1" s="1"/>
  <c r="H52" i="1"/>
  <c r="E52" i="1"/>
  <c r="M51" i="1"/>
  <c r="O51" i="1" s="1"/>
  <c r="H51" i="1"/>
  <c r="E51" i="1"/>
  <c r="O50" i="1"/>
  <c r="M50" i="1"/>
  <c r="H50" i="1"/>
  <c r="E50" i="1"/>
  <c r="M49" i="1"/>
  <c r="O49" i="1" s="1"/>
  <c r="H49" i="1"/>
  <c r="E49" i="1"/>
  <c r="M48" i="1"/>
  <c r="O48" i="1" s="1"/>
  <c r="H48" i="1"/>
  <c r="E48" i="1"/>
  <c r="M47" i="1"/>
  <c r="O47" i="1" s="1"/>
  <c r="H47" i="1"/>
  <c r="E47" i="1"/>
  <c r="O46" i="1"/>
  <c r="M46" i="1"/>
  <c r="H46" i="1"/>
  <c r="E46" i="1"/>
  <c r="M45" i="1"/>
  <c r="O45" i="1" s="1"/>
  <c r="H45" i="1"/>
  <c r="E45" i="1"/>
  <c r="M44" i="1"/>
  <c r="O44" i="1" s="1"/>
  <c r="H44" i="1"/>
  <c r="E44" i="1"/>
  <c r="M43" i="1"/>
  <c r="O43" i="1" s="1"/>
  <c r="H43" i="1"/>
  <c r="E43" i="1"/>
  <c r="O42" i="1"/>
  <c r="M42" i="1"/>
  <c r="H42" i="1"/>
  <c r="E42" i="1"/>
  <c r="M41" i="1"/>
  <c r="O41" i="1" s="1"/>
  <c r="H41" i="1"/>
  <c r="E41" i="1"/>
  <c r="M40" i="1"/>
  <c r="O40" i="1" s="1"/>
  <c r="H40" i="1"/>
  <c r="M39" i="1"/>
  <c r="O39" i="1" s="1"/>
  <c r="H39" i="1"/>
  <c r="O38" i="1"/>
  <c r="M38" i="1"/>
  <c r="H38" i="1"/>
  <c r="M37" i="1"/>
  <c r="O37" i="1" s="1"/>
  <c r="H37" i="1"/>
  <c r="M36" i="1"/>
  <c r="O36" i="1" s="1"/>
  <c r="H36" i="1"/>
  <c r="M35" i="1"/>
  <c r="O35" i="1" s="1"/>
  <c r="H35" i="1"/>
  <c r="M34" i="1"/>
  <c r="O34" i="1" s="1"/>
  <c r="H34" i="1"/>
  <c r="O33" i="1"/>
  <c r="M33" i="1"/>
  <c r="H33" i="1"/>
  <c r="M32" i="1"/>
  <c r="O32" i="1" s="1"/>
  <c r="H32" i="1"/>
  <c r="M31" i="1"/>
  <c r="O31" i="1" s="1"/>
  <c r="H31" i="1"/>
  <c r="M30" i="1"/>
  <c r="O30" i="1" s="1"/>
  <c r="H30" i="1"/>
  <c r="M29" i="1"/>
  <c r="O29" i="1" s="1"/>
  <c r="H29" i="1"/>
  <c r="M28" i="1"/>
  <c r="O28" i="1" s="1"/>
  <c r="H28" i="1"/>
  <c r="M27" i="1"/>
  <c r="O27" i="1" s="1"/>
  <c r="H27" i="1"/>
  <c r="M26" i="1"/>
  <c r="O26" i="1" s="1"/>
  <c r="H26" i="1"/>
  <c r="O25" i="1"/>
  <c r="M25" i="1"/>
  <c r="H25" i="1"/>
  <c r="M24" i="1"/>
  <c r="O24" i="1" s="1"/>
  <c r="H24" i="1"/>
  <c r="M23" i="1"/>
  <c r="O23" i="1" s="1"/>
  <c r="H23" i="1"/>
  <c r="M22" i="1"/>
  <c r="O22" i="1" s="1"/>
  <c r="H22" i="1"/>
  <c r="M21" i="1"/>
  <c r="O21" i="1" s="1"/>
  <c r="H21" i="1"/>
  <c r="M20" i="1"/>
  <c r="O20" i="1" s="1"/>
  <c r="H20" i="1"/>
  <c r="M19" i="1"/>
  <c r="O19" i="1" s="1"/>
  <c r="H19" i="1"/>
  <c r="M18" i="1"/>
  <c r="O18" i="1" s="1"/>
  <c r="H18" i="1"/>
  <c r="M17" i="1"/>
  <c r="O17" i="1" s="1"/>
  <c r="H17" i="1"/>
  <c r="M16" i="1"/>
  <c r="O16" i="1" s="1"/>
  <c r="H16" i="1"/>
  <c r="M15" i="1"/>
  <c r="O15" i="1" s="1"/>
  <c r="H15" i="1"/>
  <c r="M14" i="1"/>
  <c r="O14" i="1" s="1"/>
  <c r="H14" i="1"/>
  <c r="M13" i="1"/>
  <c r="O13" i="1" s="1"/>
  <c r="H13" i="1"/>
  <c r="M12" i="1"/>
  <c r="O12" i="1" s="1"/>
  <c r="H12" i="1"/>
  <c r="M11" i="1"/>
  <c r="O11" i="1" s="1"/>
  <c r="H11" i="1"/>
  <c r="M10" i="1"/>
  <c r="O10" i="1" s="1"/>
  <c r="H10" i="1"/>
  <c r="M9" i="1"/>
  <c r="O9" i="1" s="1"/>
  <c r="H9" i="1"/>
  <c r="M8" i="1"/>
  <c r="O8" i="1" s="1"/>
  <c r="H8" i="1"/>
  <c r="M7" i="1"/>
  <c r="O7" i="1" s="1"/>
  <c r="H7" i="1"/>
  <c r="O6" i="1"/>
  <c r="M6" i="1"/>
  <c r="H6" i="1"/>
  <c r="M5" i="1"/>
  <c r="O5" i="1" s="1"/>
  <c r="H5" i="1"/>
  <c r="M4" i="1"/>
  <c r="O4" i="1" s="1"/>
  <c r="H4" i="1"/>
  <c r="M3" i="1"/>
  <c r="O3" i="1" s="1"/>
  <c r="H3" i="1"/>
  <c r="E3" i="1"/>
  <c r="O54" i="5" l="1"/>
  <c r="O55" i="5"/>
</calcChain>
</file>

<file path=xl/sharedStrings.xml><?xml version="1.0" encoding="utf-8"?>
<sst xmlns="http://schemas.openxmlformats.org/spreadsheetml/2006/main" count="475" uniqueCount="270">
  <si>
    <t>Titan Tournaments Points System: Participating = 10pts/ Win = 10pts/ Tie = 5pts/ 3rd place = 20pts/ 2nd place = 40pts/ 1st place = 60pts</t>
  </si>
  <si>
    <t>Wins</t>
  </si>
  <si>
    <t>Losses</t>
  </si>
  <si>
    <t>Ties</t>
  </si>
  <si>
    <t>Win Pct.</t>
  </si>
  <si>
    <t>R.S.</t>
  </si>
  <si>
    <t>R.A.</t>
  </si>
  <si>
    <t>R.D.</t>
  </si>
  <si>
    <t>1st</t>
  </si>
  <si>
    <t>2nd</t>
  </si>
  <si>
    <t>3rd</t>
  </si>
  <si>
    <t>Win Pts</t>
  </si>
  <si>
    <t>Tie Pts</t>
  </si>
  <si>
    <t>Partic.</t>
  </si>
  <si>
    <t>Total Points</t>
  </si>
  <si>
    <t>7U Baseball</t>
  </si>
  <si>
    <t>8U Baseball</t>
  </si>
  <si>
    <t>9U Baseball</t>
  </si>
  <si>
    <t>10U Baseball</t>
  </si>
  <si>
    <t>11U Baseball</t>
  </si>
  <si>
    <t>12U Baseball</t>
  </si>
  <si>
    <t>13U Baseball</t>
  </si>
  <si>
    <t>14U Baseball</t>
  </si>
  <si>
    <t>15U Baseball</t>
  </si>
  <si>
    <t>16U Baseball</t>
  </si>
  <si>
    <t>MV Bears</t>
  </si>
  <si>
    <t>Sandlot Legends</t>
  </si>
  <si>
    <t>Cubs</t>
  </si>
  <si>
    <t>GA Select 9U</t>
  </si>
  <si>
    <t>Mill Creek Hawks</t>
  </si>
  <si>
    <t>Gwinnett Bandits Carolina</t>
  </si>
  <si>
    <t>Greenheads</t>
  </si>
  <si>
    <t>Athens Biscuits</t>
  </si>
  <si>
    <t>Monroe Bulldogs</t>
  </si>
  <si>
    <t>Banks Bombers</t>
  </si>
  <si>
    <t>Oconee Tigers</t>
  </si>
  <si>
    <t>GA Grizzlies</t>
  </si>
  <si>
    <t>Southside Hitmen Black</t>
  </si>
  <si>
    <t>Grayson Rams</t>
  </si>
  <si>
    <t>Buford Wolves</t>
  </si>
  <si>
    <t>GA Select Braves</t>
  </si>
  <si>
    <t>North Oconee Titans</t>
  </si>
  <si>
    <t>Newton Naturals</t>
  </si>
  <si>
    <t>5 Star Generals</t>
  </si>
  <si>
    <t>Dingers Athletics</t>
  </si>
  <si>
    <t>Cherokee Bluff</t>
  </si>
  <si>
    <t>Auburn Elite</t>
  </si>
  <si>
    <t>Mill Creek</t>
  </si>
  <si>
    <t>Social Avalanche</t>
  </si>
  <si>
    <t>Gainesville Reds</t>
  </si>
  <si>
    <t>NEGA Goats</t>
  </si>
  <si>
    <t>Mudcats</t>
  </si>
  <si>
    <t>GA Drive</t>
  </si>
  <si>
    <t>Archer Select</t>
  </si>
  <si>
    <t>GA Assault</t>
  </si>
  <si>
    <t>Walton Clippers</t>
  </si>
  <si>
    <t>3Up3Down</t>
  </si>
  <si>
    <t>Archer</t>
  </si>
  <si>
    <t>GA Cannonballers</t>
  </si>
  <si>
    <t>Rawlings GA Prospects</t>
  </si>
  <si>
    <t>Ridge BSB</t>
  </si>
  <si>
    <t>NH Jr Trojans</t>
  </si>
  <si>
    <t>Homer Hawks</t>
  </si>
  <si>
    <t>GA Rangers</t>
  </si>
  <si>
    <t>Elite Sluggers Saxon</t>
  </si>
  <si>
    <t>Fielder's Choice</t>
  </si>
  <si>
    <t>Ambush Meeks</t>
  </si>
  <si>
    <t>South Fork Sluggers</t>
  </si>
  <si>
    <t>Walton Mavericks</t>
  </si>
  <si>
    <t>OC Legends</t>
  </si>
  <si>
    <t>Social Circle Bombers</t>
  </si>
  <si>
    <t>Horsemen</t>
  </si>
  <si>
    <t>Hitmen</t>
  </si>
  <si>
    <t>Team Bullpen</t>
  </si>
  <si>
    <t>5 Star Generals Brown</t>
  </si>
  <si>
    <t>GBSA</t>
  </si>
  <si>
    <t>North GA Blaze</t>
  </si>
  <si>
    <t>South River Mudcats</t>
  </si>
  <si>
    <t>Tribe</t>
  </si>
  <si>
    <t>Elite Sluggers Herndon</t>
  </si>
  <si>
    <t>GA Elite Red</t>
  </si>
  <si>
    <t>Meridian Panthers</t>
  </si>
  <si>
    <t>Lanier Longhorns</t>
  </si>
  <si>
    <t>North GA Stripers</t>
  </si>
  <si>
    <t>Jersey Boys</t>
  </si>
  <si>
    <t>Oconee Riverdawgs</t>
  </si>
  <si>
    <t>Athens Senators</t>
  </si>
  <si>
    <t>Mansfield Mad Dawgs</t>
  </si>
  <si>
    <t>Jefferson Dragons</t>
  </si>
  <si>
    <t>FCA Hammers</t>
  </si>
  <si>
    <t>Bullpen Diamond Knights</t>
  </si>
  <si>
    <t>DD</t>
  </si>
  <si>
    <t>Velo Factory Keef</t>
  </si>
  <si>
    <t>Sharon Springs</t>
  </si>
  <si>
    <t>GA Raptors</t>
  </si>
  <si>
    <t>Homeplate Chili Dogs</t>
  </si>
  <si>
    <t>GA Legends</t>
  </si>
  <si>
    <t>Velo Factory</t>
  </si>
  <si>
    <t>Phoenix Elite</t>
  </si>
  <si>
    <t>GA Marlins MYA</t>
  </si>
  <si>
    <t>Buford Elite</t>
  </si>
  <si>
    <t>STGA Generals</t>
  </si>
  <si>
    <t>Velo</t>
  </si>
  <si>
    <t>Stripers MV</t>
  </si>
  <si>
    <t>North GA Aces</t>
  </si>
  <si>
    <t xml:space="preserve">Frontline </t>
  </si>
  <si>
    <t>Bulls</t>
  </si>
  <si>
    <t>Rawlings Prospects</t>
  </si>
  <si>
    <t>Gwinnett Stripers</t>
  </si>
  <si>
    <t>Xtreme</t>
  </si>
  <si>
    <t>OC Wood Ducks</t>
  </si>
  <si>
    <t>GA Liberty</t>
  </si>
  <si>
    <t>Bullpen Indians</t>
  </si>
  <si>
    <t>GA Elite Black</t>
  </si>
  <si>
    <t>OC Riverdawgs</t>
  </si>
  <si>
    <t>GBA Spiked 9</t>
  </si>
  <si>
    <t>Fury</t>
  </si>
  <si>
    <t>Athens Elite</t>
  </si>
  <si>
    <t>Watkinsville Rockets</t>
  </si>
  <si>
    <t xml:space="preserve">Gold City </t>
  </si>
  <si>
    <t>BodyShop Badgers</t>
  </si>
  <si>
    <t>Travelers</t>
  </si>
  <si>
    <t>Walton Goats Green</t>
  </si>
  <si>
    <t>Redline Raiders</t>
  </si>
  <si>
    <t>Factory Prospects</t>
  </si>
  <si>
    <t>Currahee Mudcats</t>
  </si>
  <si>
    <t>Home Plate Doubrava</t>
  </si>
  <si>
    <t>Factory Showtime</t>
  </si>
  <si>
    <t>FOCO Warriors</t>
  </si>
  <si>
    <t>Gold City</t>
  </si>
  <si>
    <t>Macon Impact</t>
  </si>
  <si>
    <t>Bullpen Redstitch</t>
  </si>
  <si>
    <t>Yellow Jackets</t>
  </si>
  <si>
    <t>EC Impact</t>
  </si>
  <si>
    <t>Prime BSB</t>
  </si>
  <si>
    <t>Dingers</t>
  </si>
  <si>
    <t>Dawson Anglers</t>
  </si>
  <si>
    <t>Mountain Tribe</t>
  </si>
  <si>
    <t>Tri-State Braves</t>
  </si>
  <si>
    <t>Gwinnett Elite</t>
  </si>
  <si>
    <t>Rabun Cats</t>
  </si>
  <si>
    <t>FCA Eagles</t>
  </si>
  <si>
    <t>GA Rampage</t>
  </si>
  <si>
    <t>Jokers</t>
  </si>
  <si>
    <t>FCA Hitter's Park</t>
  </si>
  <si>
    <t>Flush BSB</t>
  </si>
  <si>
    <t>Factory Select</t>
  </si>
  <si>
    <t>TB Blue Sox</t>
  </si>
  <si>
    <t>HK Bluejays</t>
  </si>
  <si>
    <t>Factory Lugnuts</t>
  </si>
  <si>
    <t>Thunder</t>
  </si>
  <si>
    <t>ES Baseball</t>
  </si>
  <si>
    <t>Buckhead Bombers</t>
  </si>
  <si>
    <t>West Jackson All Stars</t>
  </si>
  <si>
    <t>Jones County All Stars</t>
  </si>
  <si>
    <t>MGA Wolfpack</t>
  </si>
  <si>
    <t>Elite Diamondbacks</t>
  </si>
  <si>
    <t>Monroe Hurricanes</t>
  </si>
  <si>
    <t>North GA Ducks</t>
  </si>
  <si>
    <t>Lumberjacks</t>
  </si>
  <si>
    <t>Arsenal</t>
  </si>
  <si>
    <t>Southside Hitmen</t>
  </si>
  <si>
    <t>North Gwinnett Elite</t>
  </si>
  <si>
    <t>Southern Mafia</t>
  </si>
  <si>
    <t>Milly Mitts</t>
  </si>
  <si>
    <t>Grayson Rams - Gillis</t>
  </si>
  <si>
    <t>Grayson Rams - Lyell</t>
  </si>
  <si>
    <t>NEGA Goats 11U</t>
  </si>
  <si>
    <t>Dacula Falcons</t>
  </si>
  <si>
    <t>MAFIA 12U</t>
  </si>
  <si>
    <t>SE Canes</t>
  </si>
  <si>
    <t>Georgia Lightning</t>
  </si>
  <si>
    <t>AC - Cubs</t>
  </si>
  <si>
    <t>North GA Junkyard Dawgs</t>
  </si>
  <si>
    <t>AC - Braves</t>
  </si>
  <si>
    <t>Habersham Elite</t>
  </si>
  <si>
    <t>AC - Sox</t>
  </si>
  <si>
    <t>Ambush</t>
  </si>
  <si>
    <t>Bandits Carolina</t>
  </si>
  <si>
    <t>EC Ballers</t>
  </si>
  <si>
    <t>MC Hawks</t>
  </si>
  <si>
    <t>Fury Baseball</t>
  </si>
  <si>
    <t>Gwinnett Wolfpack</t>
  </si>
  <si>
    <t>TB Blue Sox Wyatt</t>
  </si>
  <si>
    <t>Brookwood</t>
  </si>
  <si>
    <t>Prospects</t>
  </si>
  <si>
    <t>Dawson Outsiders</t>
  </si>
  <si>
    <t>Walton Stripers</t>
  </si>
  <si>
    <t>N GA Junkyard Dawgs</t>
  </si>
  <si>
    <t>Homeplate - Whitlow</t>
  </si>
  <si>
    <t>AC Athletics</t>
  </si>
  <si>
    <t>GBSA Rays Caponi</t>
  </si>
  <si>
    <t>Warriors</t>
  </si>
  <si>
    <t>MC Hawks - Caldwell</t>
  </si>
  <si>
    <t>PC Bandits</t>
  </si>
  <si>
    <t>Brookwood Indians</t>
  </si>
  <si>
    <t>Bandits 10U</t>
  </si>
  <si>
    <t>Heaters</t>
  </si>
  <si>
    <t>Monticello Outlaws</t>
  </si>
  <si>
    <t>OC Hitmen</t>
  </si>
  <si>
    <t>EC Hustlers</t>
  </si>
  <si>
    <t>Gwinnett Sharks</t>
  </si>
  <si>
    <t>Newton All-Stars</t>
  </si>
  <si>
    <t>Lights Out</t>
  </si>
  <si>
    <t>Diesel Dawgs Red</t>
  </si>
  <si>
    <t>Macon Pain Prospects</t>
  </si>
  <si>
    <t>Ambush - Archer</t>
  </si>
  <si>
    <t>Flush BC</t>
  </si>
  <si>
    <t>GA Steel</t>
  </si>
  <si>
    <t>Buford Elite - Klinger</t>
  </si>
  <si>
    <t xml:space="preserve">Elite Sluggers </t>
  </si>
  <si>
    <t>SC Bombers</t>
  </si>
  <si>
    <t>Gwinnett Legends</t>
  </si>
  <si>
    <t>Bandits 11U</t>
  </si>
  <si>
    <t>EC Invaders</t>
  </si>
  <si>
    <t>Dingers Premier</t>
  </si>
  <si>
    <t>Dawson Bomb Squad</t>
  </si>
  <si>
    <t>Diamond Dawgs</t>
  </si>
  <si>
    <t>Canes</t>
  </si>
  <si>
    <t>Winder Scrappers</t>
  </si>
  <si>
    <t>Dublin Havoc</t>
  </si>
  <si>
    <t>Factory Prime</t>
  </si>
  <si>
    <t>Lightning</t>
  </si>
  <si>
    <t>Buford Elite - Orton</t>
  </si>
  <si>
    <t>Newton Naturals - Sloan</t>
  </si>
  <si>
    <t>Lumpkin Indian Outlaws</t>
  </si>
  <si>
    <t>TRIBE</t>
  </si>
  <si>
    <t>SS Hitmen Red</t>
  </si>
  <si>
    <t>Hustle</t>
  </si>
  <si>
    <t>Atlanta Diamondbacks</t>
  </si>
  <si>
    <t>Walnut Grove Warriors Green</t>
  </si>
  <si>
    <t>5 Star Atlanta</t>
  </si>
  <si>
    <t>5 Star Generals - Lyell</t>
  </si>
  <si>
    <t>FC Twins</t>
  </si>
  <si>
    <t>Cobb Elite</t>
  </si>
  <si>
    <t>Rangers</t>
  </si>
  <si>
    <t>Beastmode</t>
  </si>
  <si>
    <t>Velo Factory - National</t>
  </si>
  <si>
    <t>Coal Mountain Hustle</t>
  </si>
  <si>
    <t>Tri-State Legends</t>
  </si>
  <si>
    <t>Tigers</t>
  </si>
  <si>
    <t>Bulldogs Elite</t>
  </si>
  <si>
    <t>Elite Sluggers - Bower</t>
  </si>
  <si>
    <t>Wildthangz</t>
  </si>
  <si>
    <t>Colts Baseball</t>
  </si>
  <si>
    <t>Outsiders</t>
  </si>
  <si>
    <t>Ambush Baseball</t>
  </si>
  <si>
    <t>North Hall Jr. Trojans</t>
  </si>
  <si>
    <t>SS Hitmen Black</t>
  </si>
  <si>
    <t>Laces Baseball Academy</t>
  </si>
  <si>
    <t>WG Warriors</t>
  </si>
  <si>
    <t>Ridge Baseball</t>
  </si>
  <si>
    <t>Macon Pain</t>
  </si>
  <si>
    <t>Roswell Hornets</t>
  </si>
  <si>
    <t>SM Braves</t>
  </si>
  <si>
    <t>Aces</t>
  </si>
  <si>
    <t>Jaxco Panthers</t>
  </si>
  <si>
    <t>GBSA Rays</t>
  </si>
  <si>
    <t>Lost Boys</t>
  </si>
  <si>
    <t>Flush Baseball</t>
  </si>
  <si>
    <t>ATL Premier</t>
  </si>
  <si>
    <t>Boom Squad</t>
  </si>
  <si>
    <t>Warriors Fall Select</t>
  </si>
  <si>
    <t>Archer Select Baseball</t>
  </si>
  <si>
    <t>Atlanta Premier (AP)</t>
  </si>
  <si>
    <t>Velo Factory 8U National</t>
  </si>
  <si>
    <t>Monroe Prospects</t>
  </si>
  <si>
    <t>Phoenix Fire</t>
  </si>
  <si>
    <t>Bandits Navy</t>
  </si>
  <si>
    <t>Diesel Dawgs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</si>
</sst>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10" fontId="0" fillId="0" borderId="0" xfId="0" applyNumberFormat="1"/>
    <xf numFmtId="0" fontId="1" fillId="0" borderId="0" xfId="0" applyFont="1"/>
    <xf numFmtId="0" fontId="0" fillId="3" borderId="0" xfId="0" applyFill="1"/>
    <xf numFmtId="10" fontId="0" fillId="3" borderId="0" xfId="0" applyNumberFormat="1" applyFill="1"/>
    <xf numFmtId="0" fontId="1" fillId="3" borderId="0" xfId="0" applyFont="1" applyFill="1"/>
    <xf numFmtId="0" fontId="1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1" fillId="3" borderId="1" xfId="0" applyFont="1" applyFill="1" applyBorder="1"/>
    <xf numFmtId="0" fontId="0" fillId="3" borderId="1" xfId="0" applyFill="1" applyBorder="1"/>
    <xf numFmtId="10" fontId="0" fillId="3" borderId="1" xfId="0" applyNumberFormat="1" applyFill="1" applyBorder="1"/>
    <xf numFmtId="0" fontId="1" fillId="0" borderId="1" xfId="0" applyFont="1" applyBorder="1" applyAlignment="1">
      <alignment horizontal="center"/>
    </xf>
    <xf numFmtId="0" fontId="0" fillId="2" borderId="0" xfId="0" applyFont="1" applyFill="1"/>
    <xf numFmtId="1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4"/>
  <sheetViews>
    <sheetView workbookViewId="0">
      <selection activeCell="B3" sqref="B3"/>
    </sheetView>
  </sheetViews>
  <sheetFormatPr defaultRowHeight="14.5" x14ac:dyDescent="0.35"/>
  <cols>
    <col min="1" max="1" width="29.453125" customWidth="1"/>
  </cols>
  <sheetData>
    <row r="1" spans="1:27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" t="s">
        <v>15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35">
      <c r="A3" t="s">
        <v>42</v>
      </c>
      <c r="B3">
        <v>0</v>
      </c>
      <c r="C3">
        <v>4</v>
      </c>
      <c r="D3">
        <v>0</v>
      </c>
      <c r="E3" s="2">
        <f>(B3)/(B3+C3+D3)</f>
        <v>0</v>
      </c>
      <c r="F3">
        <f>6+12+10+23</f>
        <v>51</v>
      </c>
      <c r="G3">
        <f>19+15+21+24</f>
        <v>79</v>
      </c>
      <c r="H3">
        <f>F3-G3</f>
        <v>-28</v>
      </c>
      <c r="L3">
        <f>B3*10</f>
        <v>0</v>
      </c>
      <c r="M3">
        <f>D3*5</f>
        <v>0</v>
      </c>
      <c r="N3">
        <v>10</v>
      </c>
      <c r="O3">
        <f>SUM(I3:N3)</f>
        <v>10</v>
      </c>
    </row>
    <row r="4" spans="1:27" x14ac:dyDescent="0.35">
      <c r="A4" t="s">
        <v>43</v>
      </c>
      <c r="B4">
        <v>2</v>
      </c>
      <c r="C4">
        <v>2</v>
      </c>
      <c r="D4">
        <v>0</v>
      </c>
      <c r="E4" s="2">
        <f t="shared" ref="E4:E40" si="0">(B4)/(B4+C4+D4)</f>
        <v>0.5</v>
      </c>
      <c r="F4">
        <f>19+20+17+9</f>
        <v>65</v>
      </c>
      <c r="G4">
        <f>6+22+5+20</f>
        <v>53</v>
      </c>
      <c r="H4">
        <f t="shared" ref="H4:H64" si="1">F4-G4</f>
        <v>12</v>
      </c>
      <c r="K4">
        <v>20</v>
      </c>
      <c r="L4">
        <f t="shared" ref="L4:L47" si="2">B4*10</f>
        <v>20</v>
      </c>
      <c r="M4">
        <f t="shared" ref="M4:M64" si="3">D4*5</f>
        <v>0</v>
      </c>
      <c r="N4">
        <v>10</v>
      </c>
      <c r="O4">
        <f t="shared" ref="O4:O64" si="4">SUM(I4:N4)</f>
        <v>50</v>
      </c>
    </row>
    <row r="5" spans="1:27" x14ac:dyDescent="0.35">
      <c r="A5" t="s">
        <v>44</v>
      </c>
      <c r="B5">
        <v>2</v>
      </c>
      <c r="C5">
        <v>3</v>
      </c>
      <c r="D5">
        <v>0</v>
      </c>
      <c r="E5" s="2">
        <f t="shared" si="0"/>
        <v>0.4</v>
      </c>
      <c r="F5">
        <f>19+3+5+20+1</f>
        <v>48</v>
      </c>
      <c r="G5">
        <f>12+12+17+9+13</f>
        <v>63</v>
      </c>
      <c r="H5">
        <f t="shared" si="1"/>
        <v>-15</v>
      </c>
      <c r="J5">
        <v>40</v>
      </c>
      <c r="L5">
        <f t="shared" si="2"/>
        <v>20</v>
      </c>
      <c r="M5">
        <f t="shared" si="3"/>
        <v>0</v>
      </c>
      <c r="N5">
        <v>10</v>
      </c>
      <c r="O5">
        <f t="shared" si="4"/>
        <v>70</v>
      </c>
    </row>
    <row r="6" spans="1:27" x14ac:dyDescent="0.35">
      <c r="A6" t="s">
        <v>45</v>
      </c>
      <c r="B6">
        <v>5</v>
      </c>
      <c r="C6">
        <v>0</v>
      </c>
      <c r="D6">
        <v>0</v>
      </c>
      <c r="E6" s="2">
        <f t="shared" si="0"/>
        <v>1</v>
      </c>
      <c r="F6">
        <f>22+12+21+24+13</f>
        <v>92</v>
      </c>
      <c r="G6">
        <f>20+3+10+23+1</f>
        <v>57</v>
      </c>
      <c r="H6">
        <f t="shared" si="1"/>
        <v>35</v>
      </c>
      <c r="I6">
        <v>60</v>
      </c>
      <c r="L6">
        <f t="shared" si="2"/>
        <v>50</v>
      </c>
      <c r="M6">
        <f t="shared" si="3"/>
        <v>0</v>
      </c>
      <c r="N6">
        <v>10</v>
      </c>
      <c r="O6">
        <f t="shared" si="4"/>
        <v>120</v>
      </c>
    </row>
    <row r="7" spans="1:27" x14ac:dyDescent="0.35">
      <c r="E7" s="2" t="e">
        <f t="shared" si="0"/>
        <v>#DIV/0!</v>
      </c>
      <c r="H7">
        <f t="shared" si="1"/>
        <v>0</v>
      </c>
      <c r="L7">
        <f t="shared" si="2"/>
        <v>0</v>
      </c>
      <c r="M7">
        <f t="shared" si="3"/>
        <v>0</v>
      </c>
      <c r="O7">
        <f t="shared" si="4"/>
        <v>0</v>
      </c>
    </row>
    <row r="8" spans="1:27" x14ac:dyDescent="0.35">
      <c r="E8" s="2" t="e">
        <f t="shared" si="0"/>
        <v>#DIV/0!</v>
      </c>
      <c r="H8">
        <f t="shared" si="1"/>
        <v>0</v>
      </c>
      <c r="L8">
        <f t="shared" si="2"/>
        <v>0</v>
      </c>
      <c r="M8">
        <f t="shared" si="3"/>
        <v>0</v>
      </c>
      <c r="O8">
        <f t="shared" si="4"/>
        <v>0</v>
      </c>
    </row>
    <row r="9" spans="1:27" x14ac:dyDescent="0.35">
      <c r="E9" s="2" t="e">
        <f t="shared" si="0"/>
        <v>#DIV/0!</v>
      </c>
      <c r="H9">
        <f t="shared" si="1"/>
        <v>0</v>
      </c>
      <c r="L9">
        <f t="shared" si="2"/>
        <v>0</v>
      </c>
      <c r="M9">
        <f t="shared" si="3"/>
        <v>0</v>
      </c>
      <c r="O9">
        <f t="shared" si="4"/>
        <v>0</v>
      </c>
    </row>
    <row r="10" spans="1:27" x14ac:dyDescent="0.35">
      <c r="E10" s="2" t="e">
        <f t="shared" si="0"/>
        <v>#DIV/0!</v>
      </c>
      <c r="H10">
        <f t="shared" si="1"/>
        <v>0</v>
      </c>
      <c r="L10">
        <f t="shared" si="2"/>
        <v>0</v>
      </c>
      <c r="M10">
        <f t="shared" si="3"/>
        <v>0</v>
      </c>
      <c r="O10">
        <f t="shared" si="4"/>
        <v>0</v>
      </c>
    </row>
    <row r="11" spans="1:27" x14ac:dyDescent="0.35">
      <c r="E11" s="2" t="e">
        <f t="shared" si="0"/>
        <v>#DIV/0!</v>
      </c>
      <c r="H11">
        <f t="shared" si="1"/>
        <v>0</v>
      </c>
      <c r="L11">
        <f t="shared" si="2"/>
        <v>0</v>
      </c>
      <c r="M11">
        <f t="shared" si="3"/>
        <v>0</v>
      </c>
      <c r="O11">
        <f t="shared" si="4"/>
        <v>0</v>
      </c>
    </row>
    <row r="12" spans="1:27" x14ac:dyDescent="0.35">
      <c r="E12" s="2" t="e">
        <f t="shared" si="0"/>
        <v>#DIV/0!</v>
      </c>
      <c r="H12">
        <f t="shared" si="1"/>
        <v>0</v>
      </c>
      <c r="L12">
        <f t="shared" si="2"/>
        <v>0</v>
      </c>
      <c r="M12">
        <f t="shared" si="3"/>
        <v>0</v>
      </c>
      <c r="O12">
        <f t="shared" si="4"/>
        <v>0</v>
      </c>
    </row>
    <row r="13" spans="1:27" x14ac:dyDescent="0.35">
      <c r="E13" s="2" t="e">
        <f t="shared" si="0"/>
        <v>#DIV/0!</v>
      </c>
      <c r="H13">
        <f t="shared" si="1"/>
        <v>0</v>
      </c>
      <c r="L13">
        <f t="shared" si="2"/>
        <v>0</v>
      </c>
      <c r="M13">
        <f t="shared" si="3"/>
        <v>0</v>
      </c>
      <c r="O13">
        <f t="shared" si="4"/>
        <v>0</v>
      </c>
    </row>
    <row r="14" spans="1:27" x14ac:dyDescent="0.35">
      <c r="E14" s="2" t="e">
        <f t="shared" si="0"/>
        <v>#DIV/0!</v>
      </c>
      <c r="H14">
        <f t="shared" si="1"/>
        <v>0</v>
      </c>
      <c r="L14">
        <f t="shared" si="2"/>
        <v>0</v>
      </c>
      <c r="M14">
        <f t="shared" si="3"/>
        <v>0</v>
      </c>
      <c r="O14">
        <f t="shared" si="4"/>
        <v>0</v>
      </c>
    </row>
    <row r="15" spans="1:27" x14ac:dyDescent="0.35">
      <c r="E15" s="2" t="e">
        <f t="shared" si="0"/>
        <v>#DIV/0!</v>
      </c>
      <c r="H15">
        <f t="shared" si="1"/>
        <v>0</v>
      </c>
      <c r="L15">
        <f t="shared" si="2"/>
        <v>0</v>
      </c>
      <c r="M15">
        <f t="shared" si="3"/>
        <v>0</v>
      </c>
      <c r="O15">
        <f t="shared" si="4"/>
        <v>0</v>
      </c>
    </row>
    <row r="16" spans="1:27" x14ac:dyDescent="0.35">
      <c r="E16" s="2" t="e">
        <f t="shared" si="0"/>
        <v>#DIV/0!</v>
      </c>
      <c r="H16">
        <f t="shared" si="1"/>
        <v>0</v>
      </c>
      <c r="L16">
        <f t="shared" si="2"/>
        <v>0</v>
      </c>
      <c r="M16">
        <f t="shared" si="3"/>
        <v>0</v>
      </c>
      <c r="O16">
        <f t="shared" si="4"/>
        <v>0</v>
      </c>
    </row>
    <row r="17" spans="5:15" x14ac:dyDescent="0.35">
      <c r="E17" s="2" t="e">
        <f t="shared" si="0"/>
        <v>#DIV/0!</v>
      </c>
      <c r="H17">
        <f t="shared" si="1"/>
        <v>0</v>
      </c>
      <c r="L17">
        <f t="shared" si="2"/>
        <v>0</v>
      </c>
      <c r="M17">
        <f t="shared" si="3"/>
        <v>0</v>
      </c>
      <c r="O17">
        <f t="shared" si="4"/>
        <v>0</v>
      </c>
    </row>
    <row r="18" spans="5:15" x14ac:dyDescent="0.35">
      <c r="E18" s="2" t="e">
        <f t="shared" si="0"/>
        <v>#DIV/0!</v>
      </c>
      <c r="H18">
        <f t="shared" si="1"/>
        <v>0</v>
      </c>
      <c r="L18">
        <f t="shared" si="2"/>
        <v>0</v>
      </c>
      <c r="M18">
        <f t="shared" si="3"/>
        <v>0</v>
      </c>
      <c r="O18">
        <f t="shared" si="4"/>
        <v>0</v>
      </c>
    </row>
    <row r="19" spans="5:15" x14ac:dyDescent="0.35">
      <c r="E19" s="2" t="e">
        <f t="shared" si="0"/>
        <v>#DIV/0!</v>
      </c>
      <c r="H19">
        <f t="shared" si="1"/>
        <v>0</v>
      </c>
      <c r="L19">
        <f t="shared" si="2"/>
        <v>0</v>
      </c>
      <c r="M19">
        <f t="shared" si="3"/>
        <v>0</v>
      </c>
      <c r="O19">
        <f t="shared" si="4"/>
        <v>0</v>
      </c>
    </row>
    <row r="20" spans="5:15" x14ac:dyDescent="0.35">
      <c r="E20" s="2" t="e">
        <f t="shared" si="0"/>
        <v>#DIV/0!</v>
      </c>
      <c r="H20">
        <f t="shared" si="1"/>
        <v>0</v>
      </c>
      <c r="L20">
        <f t="shared" si="2"/>
        <v>0</v>
      </c>
      <c r="M20">
        <f t="shared" si="3"/>
        <v>0</v>
      </c>
      <c r="O20">
        <f t="shared" si="4"/>
        <v>0</v>
      </c>
    </row>
    <row r="21" spans="5:15" x14ac:dyDescent="0.35">
      <c r="E21" s="2" t="e">
        <f t="shared" si="0"/>
        <v>#DIV/0!</v>
      </c>
      <c r="H21">
        <f t="shared" si="1"/>
        <v>0</v>
      </c>
      <c r="L21">
        <f t="shared" si="2"/>
        <v>0</v>
      </c>
      <c r="M21">
        <f t="shared" si="3"/>
        <v>0</v>
      </c>
      <c r="O21">
        <f t="shared" si="4"/>
        <v>0</v>
      </c>
    </row>
    <row r="22" spans="5:15" x14ac:dyDescent="0.35">
      <c r="E22" s="2" t="e">
        <f t="shared" si="0"/>
        <v>#DIV/0!</v>
      </c>
      <c r="H22">
        <f t="shared" si="1"/>
        <v>0</v>
      </c>
      <c r="L22">
        <f t="shared" si="2"/>
        <v>0</v>
      </c>
      <c r="M22">
        <f t="shared" si="3"/>
        <v>0</v>
      </c>
      <c r="O22">
        <f t="shared" si="4"/>
        <v>0</v>
      </c>
    </row>
    <row r="23" spans="5:15" x14ac:dyDescent="0.35">
      <c r="E23" s="2" t="e">
        <f t="shared" si="0"/>
        <v>#DIV/0!</v>
      </c>
      <c r="H23">
        <f t="shared" si="1"/>
        <v>0</v>
      </c>
      <c r="L23">
        <f t="shared" si="2"/>
        <v>0</v>
      </c>
      <c r="M23">
        <f t="shared" si="3"/>
        <v>0</v>
      </c>
      <c r="O23">
        <f t="shared" si="4"/>
        <v>0</v>
      </c>
    </row>
    <row r="24" spans="5:15" x14ac:dyDescent="0.35">
      <c r="E24" s="2" t="e">
        <f t="shared" si="0"/>
        <v>#DIV/0!</v>
      </c>
      <c r="H24">
        <f t="shared" si="1"/>
        <v>0</v>
      </c>
      <c r="L24">
        <f t="shared" si="2"/>
        <v>0</v>
      </c>
      <c r="M24">
        <f t="shared" si="3"/>
        <v>0</v>
      </c>
      <c r="O24">
        <f t="shared" si="4"/>
        <v>0</v>
      </c>
    </row>
    <row r="25" spans="5:15" x14ac:dyDescent="0.35">
      <c r="E25" s="2" t="e">
        <f t="shared" si="0"/>
        <v>#DIV/0!</v>
      </c>
      <c r="H25">
        <f t="shared" si="1"/>
        <v>0</v>
      </c>
      <c r="L25">
        <f t="shared" si="2"/>
        <v>0</v>
      </c>
      <c r="M25">
        <f t="shared" si="3"/>
        <v>0</v>
      </c>
      <c r="O25">
        <f t="shared" si="4"/>
        <v>0</v>
      </c>
    </row>
    <row r="26" spans="5:15" x14ac:dyDescent="0.35">
      <c r="E26" s="2" t="e">
        <f t="shared" si="0"/>
        <v>#DIV/0!</v>
      </c>
      <c r="H26">
        <f t="shared" si="1"/>
        <v>0</v>
      </c>
      <c r="L26">
        <f t="shared" si="2"/>
        <v>0</v>
      </c>
      <c r="M26">
        <f t="shared" si="3"/>
        <v>0</v>
      </c>
      <c r="O26">
        <f t="shared" si="4"/>
        <v>0</v>
      </c>
    </row>
    <row r="27" spans="5:15" x14ac:dyDescent="0.35">
      <c r="E27" s="2" t="e">
        <f t="shared" si="0"/>
        <v>#DIV/0!</v>
      </c>
      <c r="H27">
        <f t="shared" si="1"/>
        <v>0</v>
      </c>
      <c r="L27">
        <f t="shared" si="2"/>
        <v>0</v>
      </c>
      <c r="M27">
        <f t="shared" si="3"/>
        <v>0</v>
      </c>
      <c r="O27">
        <f t="shared" si="4"/>
        <v>0</v>
      </c>
    </row>
    <row r="28" spans="5:15" x14ac:dyDescent="0.35">
      <c r="E28" s="2" t="e">
        <f t="shared" si="0"/>
        <v>#DIV/0!</v>
      </c>
      <c r="H28">
        <f t="shared" si="1"/>
        <v>0</v>
      </c>
      <c r="L28">
        <f t="shared" si="2"/>
        <v>0</v>
      </c>
      <c r="M28">
        <f t="shared" si="3"/>
        <v>0</v>
      </c>
      <c r="O28">
        <f t="shared" si="4"/>
        <v>0</v>
      </c>
    </row>
    <row r="29" spans="5:15" x14ac:dyDescent="0.35">
      <c r="E29" s="2" t="e">
        <f t="shared" si="0"/>
        <v>#DIV/0!</v>
      </c>
      <c r="H29">
        <f t="shared" si="1"/>
        <v>0</v>
      </c>
      <c r="L29">
        <f t="shared" si="2"/>
        <v>0</v>
      </c>
      <c r="M29">
        <f t="shared" si="3"/>
        <v>0</v>
      </c>
      <c r="O29">
        <f t="shared" si="4"/>
        <v>0</v>
      </c>
    </row>
    <row r="30" spans="5:15" x14ac:dyDescent="0.35">
      <c r="E30" s="2" t="e">
        <f t="shared" si="0"/>
        <v>#DIV/0!</v>
      </c>
      <c r="H30">
        <f t="shared" si="1"/>
        <v>0</v>
      </c>
      <c r="L30">
        <f>B30*10</f>
        <v>0</v>
      </c>
      <c r="M30">
        <f t="shared" si="3"/>
        <v>0</v>
      </c>
      <c r="O30">
        <f t="shared" si="4"/>
        <v>0</v>
      </c>
    </row>
    <row r="31" spans="5:15" x14ac:dyDescent="0.35">
      <c r="E31" s="2" t="e">
        <f t="shared" si="0"/>
        <v>#DIV/0!</v>
      </c>
      <c r="H31">
        <f t="shared" si="1"/>
        <v>0</v>
      </c>
      <c r="L31">
        <f t="shared" si="2"/>
        <v>0</v>
      </c>
      <c r="M31">
        <f t="shared" si="3"/>
        <v>0</v>
      </c>
      <c r="O31">
        <f t="shared" si="4"/>
        <v>0</v>
      </c>
    </row>
    <row r="32" spans="5:15" x14ac:dyDescent="0.35">
      <c r="E32" s="2" t="e">
        <f t="shared" si="0"/>
        <v>#DIV/0!</v>
      </c>
      <c r="H32">
        <f t="shared" si="1"/>
        <v>0</v>
      </c>
      <c r="L32">
        <f t="shared" si="2"/>
        <v>0</v>
      </c>
      <c r="M32">
        <f t="shared" si="3"/>
        <v>0</v>
      </c>
      <c r="O32">
        <f t="shared" si="4"/>
        <v>0</v>
      </c>
    </row>
    <row r="33" spans="5:15" x14ac:dyDescent="0.35">
      <c r="E33" s="2" t="e">
        <f t="shared" si="0"/>
        <v>#DIV/0!</v>
      </c>
      <c r="H33">
        <f t="shared" si="1"/>
        <v>0</v>
      </c>
      <c r="L33">
        <f t="shared" si="2"/>
        <v>0</v>
      </c>
      <c r="M33">
        <f t="shared" si="3"/>
        <v>0</v>
      </c>
      <c r="O33">
        <f t="shared" si="4"/>
        <v>0</v>
      </c>
    </row>
    <row r="34" spans="5:15" x14ac:dyDescent="0.35">
      <c r="E34" s="2" t="e">
        <f t="shared" si="0"/>
        <v>#DIV/0!</v>
      </c>
      <c r="H34">
        <f t="shared" si="1"/>
        <v>0</v>
      </c>
      <c r="L34">
        <f t="shared" si="2"/>
        <v>0</v>
      </c>
      <c r="M34">
        <f t="shared" si="3"/>
        <v>0</v>
      </c>
      <c r="O34">
        <f t="shared" si="4"/>
        <v>0</v>
      </c>
    </row>
    <row r="35" spans="5:15" x14ac:dyDescent="0.35">
      <c r="E35" s="2" t="e">
        <f t="shared" si="0"/>
        <v>#DIV/0!</v>
      </c>
      <c r="H35">
        <f t="shared" si="1"/>
        <v>0</v>
      </c>
      <c r="L35">
        <f t="shared" si="2"/>
        <v>0</v>
      </c>
      <c r="M35">
        <f t="shared" si="3"/>
        <v>0</v>
      </c>
      <c r="O35">
        <f t="shared" si="4"/>
        <v>0</v>
      </c>
    </row>
    <row r="36" spans="5:15" x14ac:dyDescent="0.35">
      <c r="E36" s="2" t="e">
        <f t="shared" si="0"/>
        <v>#DIV/0!</v>
      </c>
      <c r="H36">
        <f t="shared" si="1"/>
        <v>0</v>
      </c>
      <c r="L36">
        <f t="shared" si="2"/>
        <v>0</v>
      </c>
      <c r="M36">
        <f t="shared" si="3"/>
        <v>0</v>
      </c>
      <c r="O36">
        <f t="shared" si="4"/>
        <v>0</v>
      </c>
    </row>
    <row r="37" spans="5:15" x14ac:dyDescent="0.35">
      <c r="E37" s="2" t="e">
        <f t="shared" si="0"/>
        <v>#DIV/0!</v>
      </c>
      <c r="H37">
        <f t="shared" si="1"/>
        <v>0</v>
      </c>
      <c r="L37">
        <f t="shared" si="2"/>
        <v>0</v>
      </c>
      <c r="M37">
        <f t="shared" si="3"/>
        <v>0</v>
      </c>
      <c r="O37">
        <f t="shared" si="4"/>
        <v>0</v>
      </c>
    </row>
    <row r="38" spans="5:15" x14ac:dyDescent="0.35">
      <c r="E38" s="2" t="e">
        <f t="shared" si="0"/>
        <v>#DIV/0!</v>
      </c>
      <c r="H38">
        <f t="shared" si="1"/>
        <v>0</v>
      </c>
      <c r="L38">
        <f t="shared" si="2"/>
        <v>0</v>
      </c>
      <c r="M38">
        <f t="shared" si="3"/>
        <v>0</v>
      </c>
      <c r="O38">
        <f t="shared" si="4"/>
        <v>0</v>
      </c>
    </row>
    <row r="39" spans="5:15" x14ac:dyDescent="0.35">
      <c r="E39" s="2" t="e">
        <f t="shared" si="0"/>
        <v>#DIV/0!</v>
      </c>
      <c r="H39">
        <f t="shared" si="1"/>
        <v>0</v>
      </c>
      <c r="L39">
        <f t="shared" si="2"/>
        <v>0</v>
      </c>
      <c r="M39">
        <f t="shared" si="3"/>
        <v>0</v>
      </c>
      <c r="O39">
        <f t="shared" si="4"/>
        <v>0</v>
      </c>
    </row>
    <row r="40" spans="5:15" x14ac:dyDescent="0.35">
      <c r="E40" s="2" t="e">
        <f t="shared" si="0"/>
        <v>#DIV/0!</v>
      </c>
      <c r="H40">
        <f t="shared" si="1"/>
        <v>0</v>
      </c>
      <c r="L40">
        <f t="shared" si="2"/>
        <v>0</v>
      </c>
      <c r="M40">
        <f t="shared" si="3"/>
        <v>0</v>
      </c>
      <c r="O40">
        <f t="shared" si="4"/>
        <v>0</v>
      </c>
    </row>
    <row r="41" spans="5:15" x14ac:dyDescent="0.35">
      <c r="E41" t="e">
        <f t="shared" ref="E41:E64" si="5">(B41)/(B41+C41+D41)</f>
        <v>#DIV/0!</v>
      </c>
      <c r="H41">
        <f t="shared" si="1"/>
        <v>0</v>
      </c>
      <c r="L41">
        <f t="shared" si="2"/>
        <v>0</v>
      </c>
      <c r="M41">
        <f t="shared" si="3"/>
        <v>0</v>
      </c>
      <c r="O41">
        <f t="shared" si="4"/>
        <v>0</v>
      </c>
    </row>
    <row r="42" spans="5:15" x14ac:dyDescent="0.35">
      <c r="E42" t="e">
        <f t="shared" si="5"/>
        <v>#DIV/0!</v>
      </c>
      <c r="H42">
        <f t="shared" si="1"/>
        <v>0</v>
      </c>
      <c r="L42">
        <f t="shared" si="2"/>
        <v>0</v>
      </c>
      <c r="M42">
        <f t="shared" si="3"/>
        <v>0</v>
      </c>
      <c r="O42">
        <f t="shared" si="4"/>
        <v>0</v>
      </c>
    </row>
    <row r="43" spans="5:15" x14ac:dyDescent="0.35">
      <c r="E43" t="e">
        <f t="shared" si="5"/>
        <v>#DIV/0!</v>
      </c>
      <c r="H43">
        <f t="shared" si="1"/>
        <v>0</v>
      </c>
      <c r="L43">
        <f t="shared" si="2"/>
        <v>0</v>
      </c>
      <c r="M43">
        <f t="shared" si="3"/>
        <v>0</v>
      </c>
      <c r="O43">
        <f t="shared" si="4"/>
        <v>0</v>
      </c>
    </row>
    <row r="44" spans="5:15" x14ac:dyDescent="0.35">
      <c r="E44" t="e">
        <f t="shared" si="5"/>
        <v>#DIV/0!</v>
      </c>
      <c r="H44">
        <f t="shared" si="1"/>
        <v>0</v>
      </c>
      <c r="L44">
        <f t="shared" si="2"/>
        <v>0</v>
      </c>
      <c r="M44">
        <f t="shared" si="3"/>
        <v>0</v>
      </c>
      <c r="O44">
        <f t="shared" si="4"/>
        <v>0</v>
      </c>
    </row>
    <row r="45" spans="5:15" x14ac:dyDescent="0.35">
      <c r="E45" t="e">
        <f t="shared" si="5"/>
        <v>#DIV/0!</v>
      </c>
      <c r="H45">
        <f t="shared" si="1"/>
        <v>0</v>
      </c>
      <c r="L45">
        <f t="shared" si="2"/>
        <v>0</v>
      </c>
      <c r="M45">
        <f t="shared" si="3"/>
        <v>0</v>
      </c>
      <c r="O45">
        <f t="shared" si="4"/>
        <v>0</v>
      </c>
    </row>
    <row r="46" spans="5:15" x14ac:dyDescent="0.35">
      <c r="E46" t="e">
        <f t="shared" si="5"/>
        <v>#DIV/0!</v>
      </c>
      <c r="H46">
        <f t="shared" si="1"/>
        <v>0</v>
      </c>
      <c r="L46">
        <f t="shared" si="2"/>
        <v>0</v>
      </c>
      <c r="M46">
        <f t="shared" si="3"/>
        <v>0</v>
      </c>
      <c r="O46">
        <f t="shared" si="4"/>
        <v>0</v>
      </c>
    </row>
    <row r="47" spans="5:15" x14ac:dyDescent="0.35">
      <c r="E47" t="e">
        <f t="shared" si="5"/>
        <v>#DIV/0!</v>
      </c>
      <c r="H47">
        <f t="shared" si="1"/>
        <v>0</v>
      </c>
      <c r="L47">
        <f t="shared" si="2"/>
        <v>0</v>
      </c>
      <c r="M47">
        <f t="shared" si="3"/>
        <v>0</v>
      </c>
      <c r="O47">
        <f t="shared" si="4"/>
        <v>0</v>
      </c>
    </row>
    <row r="48" spans="5:15" x14ac:dyDescent="0.35">
      <c r="E48" t="e">
        <f t="shared" si="5"/>
        <v>#DIV/0!</v>
      </c>
      <c r="H48">
        <f t="shared" si="1"/>
        <v>0</v>
      </c>
      <c r="M48">
        <f t="shared" si="3"/>
        <v>0</v>
      </c>
      <c r="O48">
        <f t="shared" si="4"/>
        <v>0</v>
      </c>
    </row>
    <row r="49" spans="5:15" x14ac:dyDescent="0.35">
      <c r="E49" t="e">
        <f t="shared" si="5"/>
        <v>#DIV/0!</v>
      </c>
      <c r="H49">
        <f t="shared" si="1"/>
        <v>0</v>
      </c>
      <c r="M49">
        <f t="shared" si="3"/>
        <v>0</v>
      </c>
      <c r="O49">
        <f t="shared" si="4"/>
        <v>0</v>
      </c>
    </row>
    <row r="50" spans="5:15" x14ac:dyDescent="0.35">
      <c r="E50" t="e">
        <f t="shared" si="5"/>
        <v>#DIV/0!</v>
      </c>
      <c r="H50">
        <f t="shared" si="1"/>
        <v>0</v>
      </c>
      <c r="M50">
        <f t="shared" si="3"/>
        <v>0</v>
      </c>
      <c r="O50">
        <f t="shared" si="4"/>
        <v>0</v>
      </c>
    </row>
    <row r="51" spans="5:15" x14ac:dyDescent="0.35">
      <c r="E51" t="e">
        <f t="shared" si="5"/>
        <v>#DIV/0!</v>
      </c>
      <c r="H51">
        <f t="shared" si="1"/>
        <v>0</v>
      </c>
      <c r="M51">
        <f t="shared" si="3"/>
        <v>0</v>
      </c>
      <c r="O51">
        <f t="shared" si="4"/>
        <v>0</v>
      </c>
    </row>
    <row r="52" spans="5:15" x14ac:dyDescent="0.35">
      <c r="E52" t="e">
        <f t="shared" si="5"/>
        <v>#DIV/0!</v>
      </c>
      <c r="H52">
        <f t="shared" si="1"/>
        <v>0</v>
      </c>
      <c r="M52">
        <f t="shared" si="3"/>
        <v>0</v>
      </c>
      <c r="O52">
        <f t="shared" si="4"/>
        <v>0</v>
      </c>
    </row>
    <row r="53" spans="5:15" x14ac:dyDescent="0.35">
      <c r="E53" t="e">
        <f t="shared" si="5"/>
        <v>#DIV/0!</v>
      </c>
      <c r="H53">
        <f t="shared" si="1"/>
        <v>0</v>
      </c>
      <c r="M53">
        <f t="shared" si="3"/>
        <v>0</v>
      </c>
      <c r="O53">
        <f t="shared" si="4"/>
        <v>0</v>
      </c>
    </row>
    <row r="54" spans="5:15" x14ac:dyDescent="0.35">
      <c r="E54" t="e">
        <f t="shared" si="5"/>
        <v>#DIV/0!</v>
      </c>
      <c r="H54">
        <f t="shared" si="1"/>
        <v>0</v>
      </c>
      <c r="M54">
        <f t="shared" si="3"/>
        <v>0</v>
      </c>
      <c r="O54">
        <f t="shared" si="4"/>
        <v>0</v>
      </c>
    </row>
    <row r="55" spans="5:15" x14ac:dyDescent="0.35">
      <c r="E55" t="e">
        <f t="shared" si="5"/>
        <v>#DIV/0!</v>
      </c>
      <c r="H55">
        <f t="shared" si="1"/>
        <v>0</v>
      </c>
      <c r="M55">
        <f t="shared" si="3"/>
        <v>0</v>
      </c>
      <c r="O55">
        <f t="shared" si="4"/>
        <v>0</v>
      </c>
    </row>
    <row r="56" spans="5:15" x14ac:dyDescent="0.35">
      <c r="E56" t="e">
        <f t="shared" si="5"/>
        <v>#DIV/0!</v>
      </c>
      <c r="H56">
        <f t="shared" si="1"/>
        <v>0</v>
      </c>
      <c r="M56">
        <f t="shared" si="3"/>
        <v>0</v>
      </c>
      <c r="O56">
        <f t="shared" si="4"/>
        <v>0</v>
      </c>
    </row>
    <row r="57" spans="5:15" x14ac:dyDescent="0.35">
      <c r="E57" t="e">
        <f t="shared" si="5"/>
        <v>#DIV/0!</v>
      </c>
      <c r="H57">
        <f t="shared" si="1"/>
        <v>0</v>
      </c>
      <c r="M57">
        <f t="shared" si="3"/>
        <v>0</v>
      </c>
      <c r="O57">
        <f t="shared" si="4"/>
        <v>0</v>
      </c>
    </row>
    <row r="58" spans="5:15" x14ac:dyDescent="0.35">
      <c r="E58" t="e">
        <f t="shared" si="5"/>
        <v>#DIV/0!</v>
      </c>
      <c r="H58">
        <f t="shared" si="1"/>
        <v>0</v>
      </c>
      <c r="M58">
        <f t="shared" si="3"/>
        <v>0</v>
      </c>
      <c r="O58">
        <f t="shared" si="4"/>
        <v>0</v>
      </c>
    </row>
    <row r="59" spans="5:15" x14ac:dyDescent="0.35">
      <c r="E59" t="e">
        <f t="shared" si="5"/>
        <v>#DIV/0!</v>
      </c>
      <c r="H59">
        <f t="shared" si="1"/>
        <v>0</v>
      </c>
      <c r="M59">
        <f t="shared" si="3"/>
        <v>0</v>
      </c>
      <c r="O59">
        <f t="shared" si="4"/>
        <v>0</v>
      </c>
    </row>
    <row r="60" spans="5:15" x14ac:dyDescent="0.35">
      <c r="E60" t="e">
        <f t="shared" si="5"/>
        <v>#DIV/0!</v>
      </c>
      <c r="H60">
        <f t="shared" si="1"/>
        <v>0</v>
      </c>
      <c r="M60">
        <f t="shared" si="3"/>
        <v>0</v>
      </c>
      <c r="O60">
        <f t="shared" si="4"/>
        <v>0</v>
      </c>
    </row>
    <row r="61" spans="5:15" x14ac:dyDescent="0.35">
      <c r="E61" t="e">
        <f t="shared" si="5"/>
        <v>#DIV/0!</v>
      </c>
      <c r="H61">
        <f t="shared" si="1"/>
        <v>0</v>
      </c>
      <c r="M61">
        <f t="shared" si="3"/>
        <v>0</v>
      </c>
      <c r="O61">
        <f t="shared" si="4"/>
        <v>0</v>
      </c>
    </row>
    <row r="62" spans="5:15" x14ac:dyDescent="0.35">
      <c r="E62" t="e">
        <f t="shared" si="5"/>
        <v>#DIV/0!</v>
      </c>
      <c r="H62">
        <f t="shared" si="1"/>
        <v>0</v>
      </c>
      <c r="M62">
        <f t="shared" si="3"/>
        <v>0</v>
      </c>
      <c r="O62">
        <f t="shared" si="4"/>
        <v>0</v>
      </c>
    </row>
    <row r="63" spans="5:15" x14ac:dyDescent="0.35">
      <c r="E63" t="e">
        <f t="shared" si="5"/>
        <v>#DIV/0!</v>
      </c>
      <c r="H63">
        <f t="shared" si="1"/>
        <v>0</v>
      </c>
      <c r="M63">
        <f t="shared" si="3"/>
        <v>0</v>
      </c>
      <c r="O63">
        <f t="shared" si="4"/>
        <v>0</v>
      </c>
    </row>
    <row r="64" spans="5:15" x14ac:dyDescent="0.35">
      <c r="E64" t="e">
        <f t="shared" si="5"/>
        <v>#DIV/0!</v>
      </c>
      <c r="H64">
        <f t="shared" si="1"/>
        <v>0</v>
      </c>
      <c r="M64">
        <f t="shared" si="3"/>
        <v>0</v>
      </c>
      <c r="O64">
        <f t="shared" si="4"/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64"/>
  <sheetViews>
    <sheetView workbookViewId="0">
      <selection sqref="A1:XFD1"/>
    </sheetView>
  </sheetViews>
  <sheetFormatPr defaultRowHeight="14.5" x14ac:dyDescent="0.35"/>
  <cols>
    <col min="1" max="1" width="31" customWidth="1"/>
  </cols>
  <sheetData>
    <row r="1" spans="1:27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35">
      <c r="A3" t="s">
        <v>160</v>
      </c>
      <c r="B3">
        <v>3</v>
      </c>
      <c r="C3">
        <v>1</v>
      </c>
      <c r="D3">
        <v>0</v>
      </c>
      <c r="E3" s="2">
        <f t="shared" ref="E3:E34" si="0">(B3)/(B3+C3+D3)</f>
        <v>0.75</v>
      </c>
      <c r="F3">
        <f>4+8+9+11</f>
        <v>32</v>
      </c>
      <c r="G3">
        <f>15+8+9</f>
        <v>32</v>
      </c>
      <c r="H3">
        <f t="shared" ref="H3:H34" si="1">F3-G3</f>
        <v>0</v>
      </c>
      <c r="I3">
        <v>60</v>
      </c>
      <c r="L3">
        <f t="shared" ref="L3:L41" si="2">SUM(B3*10)</f>
        <v>30</v>
      </c>
      <c r="M3">
        <f t="shared" ref="M3:M34" si="3">D3*5</f>
        <v>0</v>
      </c>
      <c r="N3">
        <v>10</v>
      </c>
      <c r="O3">
        <f t="shared" ref="O3:O34" si="4">SUM(I3:N3)</f>
        <v>100</v>
      </c>
    </row>
    <row r="4" spans="1:27" x14ac:dyDescent="0.35">
      <c r="A4" t="s">
        <v>136</v>
      </c>
      <c r="B4">
        <v>1</v>
      </c>
      <c r="C4">
        <v>2</v>
      </c>
      <c r="D4">
        <v>0</v>
      </c>
      <c r="E4" s="2">
        <f t="shared" si="0"/>
        <v>0.33333333333333331</v>
      </c>
      <c r="F4">
        <f>0+8</f>
        <v>8</v>
      </c>
      <c r="G4">
        <f>10+1</f>
        <v>11</v>
      </c>
      <c r="H4">
        <f t="shared" si="1"/>
        <v>-3</v>
      </c>
      <c r="K4">
        <v>20</v>
      </c>
      <c r="L4">
        <f t="shared" si="2"/>
        <v>10</v>
      </c>
      <c r="M4">
        <f t="shared" si="3"/>
        <v>0</v>
      </c>
      <c r="N4">
        <v>10</v>
      </c>
      <c r="O4">
        <f t="shared" si="4"/>
        <v>40</v>
      </c>
    </row>
    <row r="5" spans="1:27" x14ac:dyDescent="0.35">
      <c r="A5" t="s">
        <v>156</v>
      </c>
      <c r="B5">
        <v>2</v>
      </c>
      <c r="C5">
        <v>2</v>
      </c>
      <c r="D5">
        <v>0</v>
      </c>
      <c r="E5" s="2">
        <f t="shared" si="0"/>
        <v>0.5</v>
      </c>
      <c r="F5">
        <f>0+4+9+1</f>
        <v>14</v>
      </c>
      <c r="G5">
        <f>4+1+0+3</f>
        <v>8</v>
      </c>
      <c r="H5">
        <f t="shared" si="1"/>
        <v>6</v>
      </c>
      <c r="J5">
        <v>40</v>
      </c>
      <c r="L5">
        <f t="shared" si="2"/>
        <v>20</v>
      </c>
      <c r="M5">
        <f t="shared" si="3"/>
        <v>0</v>
      </c>
      <c r="N5">
        <v>10</v>
      </c>
      <c r="O5">
        <f t="shared" si="4"/>
        <v>70</v>
      </c>
    </row>
    <row r="6" spans="1:27" x14ac:dyDescent="0.35">
      <c r="A6" t="s">
        <v>141</v>
      </c>
      <c r="B6">
        <v>2</v>
      </c>
      <c r="C6">
        <v>2</v>
      </c>
      <c r="D6">
        <v>0</v>
      </c>
      <c r="E6" s="2">
        <f t="shared" si="0"/>
        <v>0.5</v>
      </c>
      <c r="F6">
        <f>8+1+4</f>
        <v>13</v>
      </c>
      <c r="G6">
        <f>8+0+5</f>
        <v>13</v>
      </c>
      <c r="H6">
        <f t="shared" si="1"/>
        <v>0</v>
      </c>
      <c r="J6">
        <v>40</v>
      </c>
      <c r="L6">
        <f t="shared" si="2"/>
        <v>20</v>
      </c>
      <c r="M6">
        <f t="shared" si="3"/>
        <v>0</v>
      </c>
      <c r="N6">
        <v>10</v>
      </c>
      <c r="O6">
        <f t="shared" si="4"/>
        <v>70</v>
      </c>
    </row>
    <row r="7" spans="1:27" x14ac:dyDescent="0.35">
      <c r="A7" t="s">
        <v>142</v>
      </c>
      <c r="B7">
        <v>4</v>
      </c>
      <c r="C7">
        <v>0</v>
      </c>
      <c r="D7">
        <v>0</v>
      </c>
      <c r="E7" s="2">
        <f t="shared" si="0"/>
        <v>1</v>
      </c>
      <c r="F7">
        <f>17+3+5</f>
        <v>25</v>
      </c>
      <c r="G7">
        <f>4+2+8</f>
        <v>14</v>
      </c>
      <c r="H7">
        <f t="shared" si="1"/>
        <v>11</v>
      </c>
      <c r="I7">
        <v>60</v>
      </c>
      <c r="L7">
        <f t="shared" si="2"/>
        <v>40</v>
      </c>
      <c r="M7">
        <f t="shared" si="3"/>
        <v>0</v>
      </c>
      <c r="N7">
        <v>10</v>
      </c>
      <c r="O7">
        <f t="shared" si="4"/>
        <v>110</v>
      </c>
    </row>
    <row r="8" spans="1:27" x14ac:dyDescent="0.35">
      <c r="A8" t="s">
        <v>143</v>
      </c>
      <c r="B8">
        <v>1</v>
      </c>
      <c r="C8">
        <v>5</v>
      </c>
      <c r="D8">
        <v>0</v>
      </c>
      <c r="E8" s="2">
        <f t="shared" si="0"/>
        <v>0.16666666666666666</v>
      </c>
      <c r="F8">
        <f>2+10+0+13+1</f>
        <v>26</v>
      </c>
      <c r="G8">
        <f>17+3+9+8+4</f>
        <v>41</v>
      </c>
      <c r="H8">
        <f t="shared" si="1"/>
        <v>-15</v>
      </c>
      <c r="K8">
        <v>20</v>
      </c>
      <c r="L8">
        <f t="shared" si="2"/>
        <v>10</v>
      </c>
      <c r="M8">
        <f t="shared" si="3"/>
        <v>0</v>
      </c>
      <c r="N8">
        <v>20</v>
      </c>
      <c r="O8">
        <f t="shared" si="4"/>
        <v>50</v>
      </c>
    </row>
    <row r="9" spans="1:27" x14ac:dyDescent="0.35">
      <c r="A9" t="s">
        <v>82</v>
      </c>
      <c r="B9">
        <v>1</v>
      </c>
      <c r="C9">
        <v>2</v>
      </c>
      <c r="D9">
        <v>0</v>
      </c>
      <c r="E9" s="2">
        <f t="shared" si="0"/>
        <v>0.33333333333333331</v>
      </c>
      <c r="F9">
        <f>6+2+9</f>
        <v>17</v>
      </c>
      <c r="G9">
        <f>11+8+1</f>
        <v>20</v>
      </c>
      <c r="H9">
        <f t="shared" si="1"/>
        <v>-3</v>
      </c>
      <c r="J9">
        <v>40</v>
      </c>
      <c r="L9">
        <f t="shared" si="2"/>
        <v>10</v>
      </c>
      <c r="M9">
        <f t="shared" si="3"/>
        <v>0</v>
      </c>
      <c r="N9">
        <v>10</v>
      </c>
      <c r="O9">
        <f t="shared" si="4"/>
        <v>60</v>
      </c>
    </row>
    <row r="10" spans="1:27" x14ac:dyDescent="0.35">
      <c r="A10" t="s">
        <v>157</v>
      </c>
      <c r="B10">
        <v>4</v>
      </c>
      <c r="C10">
        <v>0</v>
      </c>
      <c r="D10">
        <v>0</v>
      </c>
      <c r="E10" s="2">
        <f t="shared" si="0"/>
        <v>1</v>
      </c>
      <c r="F10">
        <f>4+13+5+3</f>
        <v>25</v>
      </c>
      <c r="G10">
        <f>0+4+0+1</f>
        <v>5</v>
      </c>
      <c r="H10">
        <f t="shared" si="1"/>
        <v>20</v>
      </c>
      <c r="I10">
        <v>60</v>
      </c>
      <c r="L10">
        <f t="shared" si="2"/>
        <v>40</v>
      </c>
      <c r="M10">
        <f t="shared" si="3"/>
        <v>0</v>
      </c>
      <c r="N10">
        <v>10</v>
      </c>
      <c r="O10">
        <f t="shared" si="4"/>
        <v>110</v>
      </c>
    </row>
    <row r="11" spans="1:27" x14ac:dyDescent="0.35">
      <c r="A11" t="s">
        <v>137</v>
      </c>
      <c r="B11">
        <v>0</v>
      </c>
      <c r="C11">
        <v>3</v>
      </c>
      <c r="D11">
        <v>0</v>
      </c>
      <c r="E11" s="2">
        <f t="shared" si="0"/>
        <v>0</v>
      </c>
      <c r="F11">
        <f>4+8+0</f>
        <v>12</v>
      </c>
      <c r="G11">
        <f>13+13+5</f>
        <v>31</v>
      </c>
      <c r="H11">
        <f t="shared" si="1"/>
        <v>-19</v>
      </c>
      <c r="L11">
        <f t="shared" si="2"/>
        <v>0</v>
      </c>
      <c r="M11">
        <f t="shared" si="3"/>
        <v>0</v>
      </c>
      <c r="N11">
        <v>10</v>
      </c>
      <c r="O11">
        <f t="shared" si="4"/>
        <v>10</v>
      </c>
    </row>
    <row r="12" spans="1:27" x14ac:dyDescent="0.35">
      <c r="A12" t="s">
        <v>161</v>
      </c>
      <c r="B12">
        <v>1</v>
      </c>
      <c r="C12">
        <v>2</v>
      </c>
      <c r="D12">
        <v>0</v>
      </c>
      <c r="E12" s="2">
        <f t="shared" si="0"/>
        <v>0.33333333333333331</v>
      </c>
      <c r="F12">
        <f>1+13+8</f>
        <v>22</v>
      </c>
      <c r="G12">
        <f>9+4+6</f>
        <v>19</v>
      </c>
      <c r="H12">
        <f t="shared" si="1"/>
        <v>3</v>
      </c>
      <c r="K12">
        <v>20</v>
      </c>
      <c r="L12">
        <f t="shared" si="2"/>
        <v>10</v>
      </c>
      <c r="M12">
        <f t="shared" si="3"/>
        <v>0</v>
      </c>
      <c r="N12">
        <v>10</v>
      </c>
      <c r="O12">
        <f t="shared" si="4"/>
        <v>40</v>
      </c>
    </row>
    <row r="13" spans="1:27" x14ac:dyDescent="0.35">
      <c r="E13" s="2" t="e">
        <f t="shared" si="0"/>
        <v>#DIV/0!</v>
      </c>
      <c r="H13">
        <f t="shared" si="1"/>
        <v>0</v>
      </c>
      <c r="L13">
        <f t="shared" si="2"/>
        <v>0</v>
      </c>
      <c r="M13">
        <f t="shared" si="3"/>
        <v>0</v>
      </c>
      <c r="O13">
        <f t="shared" si="4"/>
        <v>0</v>
      </c>
    </row>
    <row r="14" spans="1:27" x14ac:dyDescent="0.35">
      <c r="E14" s="2" t="e">
        <f t="shared" si="0"/>
        <v>#DIV/0!</v>
      </c>
      <c r="H14">
        <f t="shared" si="1"/>
        <v>0</v>
      </c>
      <c r="L14">
        <f t="shared" si="2"/>
        <v>0</v>
      </c>
      <c r="M14">
        <f t="shared" si="3"/>
        <v>0</v>
      </c>
      <c r="O14">
        <f t="shared" si="4"/>
        <v>0</v>
      </c>
    </row>
    <row r="15" spans="1:27" x14ac:dyDescent="0.35">
      <c r="E15" s="2" t="e">
        <f t="shared" si="0"/>
        <v>#DIV/0!</v>
      </c>
      <c r="H15">
        <f t="shared" si="1"/>
        <v>0</v>
      </c>
      <c r="L15">
        <f t="shared" si="2"/>
        <v>0</v>
      </c>
      <c r="M15">
        <f t="shared" si="3"/>
        <v>0</v>
      </c>
      <c r="O15">
        <f t="shared" si="4"/>
        <v>0</v>
      </c>
    </row>
    <row r="16" spans="1:27" x14ac:dyDescent="0.35">
      <c r="E16" s="2" t="e">
        <f t="shared" si="0"/>
        <v>#DIV/0!</v>
      </c>
      <c r="H16">
        <f t="shared" si="1"/>
        <v>0</v>
      </c>
      <c r="L16">
        <f t="shared" si="2"/>
        <v>0</v>
      </c>
      <c r="M16">
        <f t="shared" si="3"/>
        <v>0</v>
      </c>
      <c r="O16">
        <f t="shared" si="4"/>
        <v>0</v>
      </c>
    </row>
    <row r="17" spans="5:15" x14ac:dyDescent="0.35">
      <c r="E17" s="2" t="e">
        <f t="shared" si="0"/>
        <v>#DIV/0!</v>
      </c>
      <c r="H17">
        <f t="shared" si="1"/>
        <v>0</v>
      </c>
      <c r="L17">
        <f t="shared" si="2"/>
        <v>0</v>
      </c>
      <c r="M17">
        <f t="shared" si="3"/>
        <v>0</v>
      </c>
      <c r="O17">
        <f t="shared" si="4"/>
        <v>0</v>
      </c>
    </row>
    <row r="18" spans="5:15" x14ac:dyDescent="0.35">
      <c r="E18" s="2" t="e">
        <f t="shared" si="0"/>
        <v>#DIV/0!</v>
      </c>
      <c r="H18">
        <f t="shared" si="1"/>
        <v>0</v>
      </c>
      <c r="L18">
        <f t="shared" si="2"/>
        <v>0</v>
      </c>
      <c r="M18">
        <f t="shared" si="3"/>
        <v>0</v>
      </c>
      <c r="O18">
        <f t="shared" si="4"/>
        <v>0</v>
      </c>
    </row>
    <row r="19" spans="5:15" x14ac:dyDescent="0.35">
      <c r="E19" s="2" t="e">
        <f t="shared" si="0"/>
        <v>#DIV/0!</v>
      </c>
      <c r="H19">
        <f t="shared" si="1"/>
        <v>0</v>
      </c>
      <c r="L19">
        <f t="shared" si="2"/>
        <v>0</v>
      </c>
      <c r="M19">
        <f t="shared" si="3"/>
        <v>0</v>
      </c>
      <c r="O19">
        <f t="shared" si="4"/>
        <v>0</v>
      </c>
    </row>
    <row r="20" spans="5:15" x14ac:dyDescent="0.35">
      <c r="E20" s="2" t="e">
        <f t="shared" si="0"/>
        <v>#DIV/0!</v>
      </c>
      <c r="H20">
        <f t="shared" si="1"/>
        <v>0</v>
      </c>
      <c r="L20">
        <f t="shared" si="2"/>
        <v>0</v>
      </c>
      <c r="M20">
        <f t="shared" si="3"/>
        <v>0</v>
      </c>
      <c r="O20">
        <f t="shared" si="4"/>
        <v>0</v>
      </c>
    </row>
    <row r="21" spans="5:15" x14ac:dyDescent="0.35">
      <c r="E21" s="2" t="e">
        <f t="shared" si="0"/>
        <v>#DIV/0!</v>
      </c>
      <c r="H21">
        <f t="shared" si="1"/>
        <v>0</v>
      </c>
      <c r="L21">
        <f t="shared" si="2"/>
        <v>0</v>
      </c>
      <c r="M21">
        <f t="shared" si="3"/>
        <v>0</v>
      </c>
      <c r="O21">
        <f t="shared" si="4"/>
        <v>0</v>
      </c>
    </row>
    <row r="22" spans="5:15" x14ac:dyDescent="0.35">
      <c r="E22" s="2" t="e">
        <f t="shared" si="0"/>
        <v>#DIV/0!</v>
      </c>
      <c r="H22">
        <f t="shared" si="1"/>
        <v>0</v>
      </c>
      <c r="L22">
        <f t="shared" si="2"/>
        <v>0</v>
      </c>
      <c r="M22">
        <f t="shared" si="3"/>
        <v>0</v>
      </c>
      <c r="O22">
        <f t="shared" si="4"/>
        <v>0</v>
      </c>
    </row>
    <row r="23" spans="5:15" x14ac:dyDescent="0.35">
      <c r="E23" s="2" t="e">
        <f t="shared" si="0"/>
        <v>#DIV/0!</v>
      </c>
      <c r="H23">
        <f t="shared" si="1"/>
        <v>0</v>
      </c>
      <c r="L23">
        <f t="shared" si="2"/>
        <v>0</v>
      </c>
      <c r="M23">
        <f t="shared" si="3"/>
        <v>0</v>
      </c>
      <c r="O23">
        <f t="shared" si="4"/>
        <v>0</v>
      </c>
    </row>
    <row r="24" spans="5:15" x14ac:dyDescent="0.35">
      <c r="E24" s="2" t="e">
        <f t="shared" si="0"/>
        <v>#DIV/0!</v>
      </c>
      <c r="H24">
        <f t="shared" si="1"/>
        <v>0</v>
      </c>
      <c r="L24">
        <f t="shared" si="2"/>
        <v>0</v>
      </c>
      <c r="M24">
        <f t="shared" si="3"/>
        <v>0</v>
      </c>
      <c r="O24">
        <f t="shared" si="4"/>
        <v>0</v>
      </c>
    </row>
    <row r="25" spans="5:15" x14ac:dyDescent="0.35">
      <c r="E25" s="2" t="e">
        <f t="shared" si="0"/>
        <v>#DIV/0!</v>
      </c>
      <c r="H25">
        <f t="shared" si="1"/>
        <v>0</v>
      </c>
      <c r="L25">
        <f t="shared" si="2"/>
        <v>0</v>
      </c>
      <c r="M25">
        <f t="shared" si="3"/>
        <v>0</v>
      </c>
      <c r="O25">
        <f t="shared" si="4"/>
        <v>0</v>
      </c>
    </row>
    <row r="26" spans="5:15" x14ac:dyDescent="0.35">
      <c r="E26" s="2" t="e">
        <f t="shared" si="0"/>
        <v>#DIV/0!</v>
      </c>
      <c r="H26">
        <f t="shared" si="1"/>
        <v>0</v>
      </c>
      <c r="L26">
        <f t="shared" si="2"/>
        <v>0</v>
      </c>
      <c r="M26">
        <f t="shared" si="3"/>
        <v>0</v>
      </c>
      <c r="O26">
        <f t="shared" si="4"/>
        <v>0</v>
      </c>
    </row>
    <row r="27" spans="5:15" x14ac:dyDescent="0.35">
      <c r="E27" s="2" t="e">
        <f t="shared" si="0"/>
        <v>#DIV/0!</v>
      </c>
      <c r="H27">
        <f t="shared" si="1"/>
        <v>0</v>
      </c>
      <c r="L27">
        <f t="shared" si="2"/>
        <v>0</v>
      </c>
      <c r="M27">
        <f t="shared" si="3"/>
        <v>0</v>
      </c>
      <c r="O27">
        <f t="shared" si="4"/>
        <v>0</v>
      </c>
    </row>
    <row r="28" spans="5:15" x14ac:dyDescent="0.35">
      <c r="E28" s="2" t="e">
        <f t="shared" si="0"/>
        <v>#DIV/0!</v>
      </c>
      <c r="H28">
        <f t="shared" si="1"/>
        <v>0</v>
      </c>
      <c r="L28">
        <f t="shared" si="2"/>
        <v>0</v>
      </c>
      <c r="M28">
        <f t="shared" si="3"/>
        <v>0</v>
      </c>
      <c r="O28">
        <f t="shared" si="4"/>
        <v>0</v>
      </c>
    </row>
    <row r="29" spans="5:15" x14ac:dyDescent="0.35">
      <c r="E29" s="2" t="e">
        <f t="shared" si="0"/>
        <v>#DIV/0!</v>
      </c>
      <c r="H29">
        <f t="shared" si="1"/>
        <v>0</v>
      </c>
      <c r="L29">
        <f t="shared" si="2"/>
        <v>0</v>
      </c>
      <c r="M29">
        <f t="shared" si="3"/>
        <v>0</v>
      </c>
      <c r="O29">
        <f t="shared" si="4"/>
        <v>0</v>
      </c>
    </row>
    <row r="30" spans="5:15" x14ac:dyDescent="0.35">
      <c r="E30" s="2" t="e">
        <f t="shared" si="0"/>
        <v>#DIV/0!</v>
      </c>
      <c r="H30">
        <f t="shared" si="1"/>
        <v>0</v>
      </c>
      <c r="L30">
        <f t="shared" si="2"/>
        <v>0</v>
      </c>
      <c r="M30">
        <f t="shared" si="3"/>
        <v>0</v>
      </c>
      <c r="O30">
        <f t="shared" si="4"/>
        <v>0</v>
      </c>
    </row>
    <row r="31" spans="5:15" x14ac:dyDescent="0.35">
      <c r="E31" s="2" t="e">
        <f t="shared" si="0"/>
        <v>#DIV/0!</v>
      </c>
      <c r="H31">
        <f t="shared" si="1"/>
        <v>0</v>
      </c>
      <c r="L31">
        <f t="shared" si="2"/>
        <v>0</v>
      </c>
      <c r="M31">
        <f t="shared" si="3"/>
        <v>0</v>
      </c>
      <c r="O31">
        <f t="shared" si="4"/>
        <v>0</v>
      </c>
    </row>
    <row r="32" spans="5:15" x14ac:dyDescent="0.35">
      <c r="E32" s="2" t="e">
        <f t="shared" si="0"/>
        <v>#DIV/0!</v>
      </c>
      <c r="H32">
        <f t="shared" si="1"/>
        <v>0</v>
      </c>
      <c r="L32">
        <f t="shared" si="2"/>
        <v>0</v>
      </c>
      <c r="M32">
        <f t="shared" si="3"/>
        <v>0</v>
      </c>
      <c r="O32">
        <f t="shared" si="4"/>
        <v>0</v>
      </c>
    </row>
    <row r="33" spans="5:15" x14ac:dyDescent="0.35">
      <c r="E33" s="2" t="e">
        <f t="shared" si="0"/>
        <v>#DIV/0!</v>
      </c>
      <c r="H33">
        <f t="shared" si="1"/>
        <v>0</v>
      </c>
      <c r="L33">
        <f t="shared" si="2"/>
        <v>0</v>
      </c>
      <c r="M33">
        <f t="shared" si="3"/>
        <v>0</v>
      </c>
      <c r="O33">
        <f t="shared" si="4"/>
        <v>0</v>
      </c>
    </row>
    <row r="34" spans="5:15" x14ac:dyDescent="0.35">
      <c r="E34" s="2" t="e">
        <f t="shared" si="0"/>
        <v>#DIV/0!</v>
      </c>
      <c r="H34">
        <f t="shared" si="1"/>
        <v>0</v>
      </c>
      <c r="L34">
        <f t="shared" si="2"/>
        <v>0</v>
      </c>
      <c r="M34">
        <f t="shared" si="3"/>
        <v>0</v>
      </c>
      <c r="O34">
        <f t="shared" si="4"/>
        <v>0</v>
      </c>
    </row>
    <row r="35" spans="5:15" x14ac:dyDescent="0.35">
      <c r="E35" s="2" t="e">
        <f t="shared" ref="E35:E64" si="5">(B35)/(B35+C35+D35)</f>
        <v>#DIV/0!</v>
      </c>
      <c r="H35">
        <f t="shared" ref="H35:H64" si="6">F35-G35</f>
        <v>0</v>
      </c>
      <c r="L35">
        <f t="shared" si="2"/>
        <v>0</v>
      </c>
      <c r="M35">
        <f t="shared" ref="M35:M64" si="7">D35*5</f>
        <v>0</v>
      </c>
      <c r="O35">
        <f t="shared" ref="O35:O64" si="8">SUM(I35:N35)</f>
        <v>0</v>
      </c>
    </row>
    <row r="36" spans="5:15" x14ac:dyDescent="0.35">
      <c r="E36" s="2" t="e">
        <f t="shared" si="5"/>
        <v>#DIV/0!</v>
      </c>
      <c r="H36">
        <f t="shared" si="6"/>
        <v>0</v>
      </c>
      <c r="L36">
        <f t="shared" si="2"/>
        <v>0</v>
      </c>
      <c r="M36">
        <f t="shared" si="7"/>
        <v>0</v>
      </c>
      <c r="O36">
        <f t="shared" si="8"/>
        <v>0</v>
      </c>
    </row>
    <row r="37" spans="5:15" x14ac:dyDescent="0.35">
      <c r="E37" s="2" t="e">
        <f t="shared" si="5"/>
        <v>#DIV/0!</v>
      </c>
      <c r="H37">
        <f t="shared" si="6"/>
        <v>0</v>
      </c>
      <c r="L37">
        <f t="shared" si="2"/>
        <v>0</v>
      </c>
      <c r="M37">
        <f t="shared" si="7"/>
        <v>0</v>
      </c>
      <c r="O37">
        <f t="shared" si="8"/>
        <v>0</v>
      </c>
    </row>
    <row r="38" spans="5:15" x14ac:dyDescent="0.35">
      <c r="E38" s="2" t="e">
        <f t="shared" si="5"/>
        <v>#DIV/0!</v>
      </c>
      <c r="H38">
        <f t="shared" si="6"/>
        <v>0</v>
      </c>
      <c r="L38">
        <f t="shared" si="2"/>
        <v>0</v>
      </c>
      <c r="M38">
        <f t="shared" si="7"/>
        <v>0</v>
      </c>
      <c r="O38">
        <f t="shared" si="8"/>
        <v>0</v>
      </c>
    </row>
    <row r="39" spans="5:15" x14ac:dyDescent="0.35">
      <c r="E39" s="2" t="e">
        <f t="shared" si="5"/>
        <v>#DIV/0!</v>
      </c>
      <c r="H39">
        <f t="shared" si="6"/>
        <v>0</v>
      </c>
      <c r="L39">
        <f t="shared" si="2"/>
        <v>0</v>
      </c>
      <c r="M39">
        <f t="shared" si="7"/>
        <v>0</v>
      </c>
      <c r="O39">
        <f t="shared" si="8"/>
        <v>0</v>
      </c>
    </row>
    <row r="40" spans="5:15" x14ac:dyDescent="0.35">
      <c r="E40" s="2" t="e">
        <f t="shared" si="5"/>
        <v>#DIV/0!</v>
      </c>
      <c r="H40">
        <f t="shared" si="6"/>
        <v>0</v>
      </c>
      <c r="L40">
        <f t="shared" si="2"/>
        <v>0</v>
      </c>
      <c r="M40">
        <f t="shared" si="7"/>
        <v>0</v>
      </c>
      <c r="O40">
        <f t="shared" si="8"/>
        <v>0</v>
      </c>
    </row>
    <row r="41" spans="5:15" x14ac:dyDescent="0.35">
      <c r="E41" s="2" t="e">
        <f t="shared" si="5"/>
        <v>#DIV/0!</v>
      </c>
      <c r="H41">
        <f t="shared" si="6"/>
        <v>0</v>
      </c>
      <c r="L41">
        <f t="shared" si="2"/>
        <v>0</v>
      </c>
      <c r="M41">
        <f t="shared" si="7"/>
        <v>0</v>
      </c>
      <c r="O41">
        <f t="shared" si="8"/>
        <v>0</v>
      </c>
    </row>
    <row r="42" spans="5:15" x14ac:dyDescent="0.35">
      <c r="E42" t="e">
        <f t="shared" si="5"/>
        <v>#DIV/0!</v>
      </c>
      <c r="H42">
        <f t="shared" si="6"/>
        <v>0</v>
      </c>
      <c r="M42">
        <f t="shared" si="7"/>
        <v>0</v>
      </c>
      <c r="O42">
        <f t="shared" si="8"/>
        <v>0</v>
      </c>
    </row>
    <row r="43" spans="5:15" x14ac:dyDescent="0.35">
      <c r="E43" t="e">
        <f t="shared" si="5"/>
        <v>#DIV/0!</v>
      </c>
      <c r="H43">
        <f t="shared" si="6"/>
        <v>0</v>
      </c>
      <c r="M43">
        <f t="shared" si="7"/>
        <v>0</v>
      </c>
      <c r="O43">
        <f t="shared" si="8"/>
        <v>0</v>
      </c>
    </row>
    <row r="44" spans="5:15" x14ac:dyDescent="0.35">
      <c r="E44" t="e">
        <f t="shared" si="5"/>
        <v>#DIV/0!</v>
      </c>
      <c r="H44">
        <f t="shared" si="6"/>
        <v>0</v>
      </c>
      <c r="M44">
        <f t="shared" si="7"/>
        <v>0</v>
      </c>
      <c r="O44">
        <f t="shared" si="8"/>
        <v>0</v>
      </c>
    </row>
    <row r="45" spans="5:15" x14ac:dyDescent="0.35">
      <c r="E45" t="e">
        <f t="shared" si="5"/>
        <v>#DIV/0!</v>
      </c>
      <c r="H45">
        <f t="shared" si="6"/>
        <v>0</v>
      </c>
      <c r="M45">
        <f t="shared" si="7"/>
        <v>0</v>
      </c>
      <c r="O45">
        <f t="shared" si="8"/>
        <v>0</v>
      </c>
    </row>
    <row r="46" spans="5:15" x14ac:dyDescent="0.35">
      <c r="E46" t="e">
        <f t="shared" si="5"/>
        <v>#DIV/0!</v>
      </c>
      <c r="H46">
        <f t="shared" si="6"/>
        <v>0</v>
      </c>
      <c r="M46">
        <f t="shared" si="7"/>
        <v>0</v>
      </c>
      <c r="O46">
        <f t="shared" si="8"/>
        <v>0</v>
      </c>
    </row>
    <row r="47" spans="5:15" x14ac:dyDescent="0.35">
      <c r="E47" t="e">
        <f t="shared" si="5"/>
        <v>#DIV/0!</v>
      </c>
      <c r="H47">
        <f t="shared" si="6"/>
        <v>0</v>
      </c>
      <c r="M47">
        <f t="shared" si="7"/>
        <v>0</v>
      </c>
      <c r="O47">
        <f t="shared" si="8"/>
        <v>0</v>
      </c>
    </row>
    <row r="48" spans="5:15" x14ac:dyDescent="0.35">
      <c r="E48" t="e">
        <f t="shared" si="5"/>
        <v>#DIV/0!</v>
      </c>
      <c r="H48">
        <f t="shared" si="6"/>
        <v>0</v>
      </c>
      <c r="M48">
        <f t="shared" si="7"/>
        <v>0</v>
      </c>
      <c r="O48">
        <f t="shared" si="8"/>
        <v>0</v>
      </c>
    </row>
    <row r="49" spans="5:15" x14ac:dyDescent="0.35">
      <c r="E49" t="e">
        <f t="shared" si="5"/>
        <v>#DIV/0!</v>
      </c>
      <c r="H49">
        <f t="shared" si="6"/>
        <v>0</v>
      </c>
      <c r="M49">
        <f t="shared" si="7"/>
        <v>0</v>
      </c>
      <c r="O49">
        <f t="shared" si="8"/>
        <v>0</v>
      </c>
    </row>
    <row r="50" spans="5:15" x14ac:dyDescent="0.35">
      <c r="E50" t="e">
        <f t="shared" si="5"/>
        <v>#DIV/0!</v>
      </c>
      <c r="H50">
        <f t="shared" si="6"/>
        <v>0</v>
      </c>
      <c r="M50">
        <f t="shared" si="7"/>
        <v>0</v>
      </c>
      <c r="O50">
        <f t="shared" si="8"/>
        <v>0</v>
      </c>
    </row>
    <row r="51" spans="5:15" x14ac:dyDescent="0.35">
      <c r="E51" t="e">
        <f t="shared" si="5"/>
        <v>#DIV/0!</v>
      </c>
      <c r="H51">
        <f t="shared" si="6"/>
        <v>0</v>
      </c>
      <c r="M51">
        <f t="shared" si="7"/>
        <v>0</v>
      </c>
      <c r="O51">
        <f t="shared" si="8"/>
        <v>0</v>
      </c>
    </row>
    <row r="52" spans="5:15" x14ac:dyDescent="0.35">
      <c r="E52" t="e">
        <f t="shared" si="5"/>
        <v>#DIV/0!</v>
      </c>
      <c r="H52">
        <f t="shared" si="6"/>
        <v>0</v>
      </c>
      <c r="M52">
        <f t="shared" si="7"/>
        <v>0</v>
      </c>
      <c r="O52">
        <f t="shared" si="8"/>
        <v>0</v>
      </c>
    </row>
    <row r="53" spans="5:15" x14ac:dyDescent="0.35">
      <c r="E53" t="e">
        <f t="shared" si="5"/>
        <v>#DIV/0!</v>
      </c>
      <c r="H53">
        <f t="shared" si="6"/>
        <v>0</v>
      </c>
      <c r="M53">
        <f t="shared" si="7"/>
        <v>0</v>
      </c>
      <c r="O53">
        <f t="shared" si="8"/>
        <v>0</v>
      </c>
    </row>
    <row r="54" spans="5:15" x14ac:dyDescent="0.35">
      <c r="E54" t="e">
        <f t="shared" si="5"/>
        <v>#DIV/0!</v>
      </c>
      <c r="H54">
        <f t="shared" si="6"/>
        <v>0</v>
      </c>
      <c r="M54">
        <f t="shared" si="7"/>
        <v>0</v>
      </c>
      <c r="O54">
        <f t="shared" si="8"/>
        <v>0</v>
      </c>
    </row>
    <row r="55" spans="5:15" x14ac:dyDescent="0.35">
      <c r="E55" t="e">
        <f t="shared" si="5"/>
        <v>#DIV/0!</v>
      </c>
      <c r="H55">
        <f t="shared" si="6"/>
        <v>0</v>
      </c>
      <c r="M55">
        <f t="shared" si="7"/>
        <v>0</v>
      </c>
      <c r="O55">
        <f t="shared" si="8"/>
        <v>0</v>
      </c>
    </row>
    <row r="56" spans="5:15" x14ac:dyDescent="0.35">
      <c r="E56" t="e">
        <f t="shared" si="5"/>
        <v>#DIV/0!</v>
      </c>
      <c r="H56">
        <f t="shared" si="6"/>
        <v>0</v>
      </c>
      <c r="M56">
        <f t="shared" si="7"/>
        <v>0</v>
      </c>
      <c r="O56">
        <f t="shared" si="8"/>
        <v>0</v>
      </c>
    </row>
    <row r="57" spans="5:15" x14ac:dyDescent="0.35">
      <c r="E57" t="e">
        <f t="shared" si="5"/>
        <v>#DIV/0!</v>
      </c>
      <c r="H57">
        <f t="shared" si="6"/>
        <v>0</v>
      </c>
      <c r="M57">
        <f t="shared" si="7"/>
        <v>0</v>
      </c>
      <c r="O57">
        <f t="shared" si="8"/>
        <v>0</v>
      </c>
    </row>
    <row r="58" spans="5:15" x14ac:dyDescent="0.35">
      <c r="E58" t="e">
        <f t="shared" si="5"/>
        <v>#DIV/0!</v>
      </c>
      <c r="H58">
        <f t="shared" si="6"/>
        <v>0</v>
      </c>
      <c r="M58">
        <f t="shared" si="7"/>
        <v>0</v>
      </c>
      <c r="O58">
        <f t="shared" si="8"/>
        <v>0</v>
      </c>
    </row>
    <row r="59" spans="5:15" x14ac:dyDescent="0.35">
      <c r="E59" t="e">
        <f t="shared" si="5"/>
        <v>#DIV/0!</v>
      </c>
      <c r="H59">
        <f t="shared" si="6"/>
        <v>0</v>
      </c>
      <c r="M59">
        <f t="shared" si="7"/>
        <v>0</v>
      </c>
      <c r="O59">
        <f t="shared" si="8"/>
        <v>0</v>
      </c>
    </row>
    <row r="60" spans="5:15" x14ac:dyDescent="0.35">
      <c r="E60" t="e">
        <f t="shared" si="5"/>
        <v>#DIV/0!</v>
      </c>
      <c r="H60">
        <f t="shared" si="6"/>
        <v>0</v>
      </c>
      <c r="M60">
        <f t="shared" si="7"/>
        <v>0</v>
      </c>
      <c r="O60">
        <f t="shared" si="8"/>
        <v>0</v>
      </c>
    </row>
    <row r="61" spans="5:15" x14ac:dyDescent="0.35">
      <c r="E61" t="e">
        <f t="shared" si="5"/>
        <v>#DIV/0!</v>
      </c>
      <c r="H61">
        <f t="shared" si="6"/>
        <v>0</v>
      </c>
      <c r="M61">
        <f t="shared" si="7"/>
        <v>0</v>
      </c>
      <c r="O61">
        <f t="shared" si="8"/>
        <v>0</v>
      </c>
    </row>
    <row r="62" spans="5:15" x14ac:dyDescent="0.35">
      <c r="E62" t="e">
        <f t="shared" si="5"/>
        <v>#DIV/0!</v>
      </c>
      <c r="H62">
        <f t="shared" si="6"/>
        <v>0</v>
      </c>
      <c r="M62">
        <f t="shared" si="7"/>
        <v>0</v>
      </c>
      <c r="O62">
        <f t="shared" si="8"/>
        <v>0</v>
      </c>
    </row>
    <row r="63" spans="5:15" x14ac:dyDescent="0.35">
      <c r="E63" t="e">
        <f t="shared" si="5"/>
        <v>#DIV/0!</v>
      </c>
      <c r="H63">
        <f t="shared" si="6"/>
        <v>0</v>
      </c>
      <c r="M63">
        <f t="shared" si="7"/>
        <v>0</v>
      </c>
      <c r="O63">
        <f t="shared" si="8"/>
        <v>0</v>
      </c>
    </row>
    <row r="64" spans="5:15" x14ac:dyDescent="0.35">
      <c r="E64" t="e">
        <f t="shared" si="5"/>
        <v>#DIV/0!</v>
      </c>
      <c r="H64">
        <f t="shared" si="6"/>
        <v>0</v>
      </c>
      <c r="M64">
        <f t="shared" si="7"/>
        <v>0</v>
      </c>
      <c r="O64">
        <f t="shared" si="8"/>
        <v>0</v>
      </c>
    </row>
  </sheetData>
  <sortState xmlns:xlrd2="http://schemas.microsoft.com/office/spreadsheetml/2017/richdata2" ref="A3:O64">
    <sortCondition ref="A8:A64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70"/>
  <sheetViews>
    <sheetView workbookViewId="0">
      <selection activeCell="H13" sqref="H13"/>
    </sheetView>
  </sheetViews>
  <sheetFormatPr defaultRowHeight="14.5" x14ac:dyDescent="0.35"/>
  <cols>
    <col min="1" max="1" width="23.7265625" style="3" customWidth="1"/>
    <col min="5" max="5" width="10.1796875" style="2" bestFit="1" customWidth="1"/>
  </cols>
  <sheetData>
    <row r="1" spans="1:27" x14ac:dyDescent="0.35">
      <c r="A1" s="14" t="s">
        <v>0</v>
      </c>
      <c r="B1" s="1"/>
      <c r="C1" s="1"/>
      <c r="D1" s="1"/>
      <c r="E1" s="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4" t="s">
        <v>16</v>
      </c>
      <c r="B2" s="1" t="s">
        <v>1</v>
      </c>
      <c r="C2" s="1" t="s">
        <v>2</v>
      </c>
      <c r="D2" s="1" t="s">
        <v>3</v>
      </c>
      <c r="E2" s="15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35">
      <c r="A3" s="3" t="s">
        <v>177</v>
      </c>
      <c r="B3">
        <f>1+1+1+1+1+1</f>
        <v>6</v>
      </c>
      <c r="C3">
        <f>0+1+1+1+1+1+1+1</f>
        <v>7</v>
      </c>
      <c r="E3" s="2">
        <f>(B3)/(B3+C3+D3)</f>
        <v>0.46153846153846156</v>
      </c>
      <c r="F3">
        <f>10+3+3+2+5+4+2+6+3+3+2+0+4</f>
        <v>47</v>
      </c>
      <c r="G3">
        <f>3+7+6+7+0+3+0+5+16+1+9+15+8</f>
        <v>80</v>
      </c>
      <c r="H3">
        <f>F3-G3</f>
        <v>-33</v>
      </c>
      <c r="I3">
        <f>60+60</f>
        <v>120</v>
      </c>
      <c r="K3">
        <f>20+20</f>
        <v>40</v>
      </c>
      <c r="L3">
        <f t="shared" ref="L3:L14" si="0">B3*10</f>
        <v>60</v>
      </c>
      <c r="M3">
        <f>D3*5</f>
        <v>0</v>
      </c>
      <c r="N3">
        <f>10+10+10+10</f>
        <v>40</v>
      </c>
      <c r="O3">
        <f>SUM(I3:N3)</f>
        <v>260</v>
      </c>
    </row>
    <row r="4" spans="1:27" x14ac:dyDescent="0.35">
      <c r="A4" s="3" t="s">
        <v>263</v>
      </c>
      <c r="B4">
        <f>1+1</f>
        <v>2</v>
      </c>
      <c r="C4">
        <f>1</f>
        <v>1</v>
      </c>
      <c r="E4" s="2">
        <f t="shared" ref="E4" si="1">(B4)/(B4+C4+D4)</f>
        <v>0.66666666666666663</v>
      </c>
      <c r="F4">
        <f>5+12+2</f>
        <v>19</v>
      </c>
      <c r="G4">
        <f>4+5+9</f>
        <v>18</v>
      </c>
      <c r="H4">
        <f t="shared" ref="H4" si="2">F4-G4</f>
        <v>1</v>
      </c>
      <c r="J4">
        <f>40</f>
        <v>40</v>
      </c>
      <c r="L4">
        <f>B4*10</f>
        <v>20</v>
      </c>
      <c r="M4">
        <f t="shared" ref="M4" si="3">D4*5</f>
        <v>0</v>
      </c>
      <c r="N4">
        <f>10</f>
        <v>10</v>
      </c>
      <c r="O4">
        <f t="shared" ref="O4" si="4">SUM(I4:N4)</f>
        <v>70</v>
      </c>
    </row>
    <row r="5" spans="1:27" x14ac:dyDescent="0.35">
      <c r="A5" s="3" t="s">
        <v>264</v>
      </c>
      <c r="B5">
        <f>1+1</f>
        <v>2</v>
      </c>
      <c r="C5">
        <f>1+1</f>
        <v>2</v>
      </c>
      <c r="E5" s="2">
        <f>(B5)/(B5+C5+D5)</f>
        <v>0.5</v>
      </c>
      <c r="F5">
        <f>4+15+7+0</f>
        <v>26</v>
      </c>
      <c r="G5">
        <f>5+0+2+16</f>
        <v>23</v>
      </c>
      <c r="H5">
        <f>0</f>
        <v>0</v>
      </c>
      <c r="J5">
        <f>40</f>
        <v>40</v>
      </c>
      <c r="L5">
        <f t="shared" ref="L5" si="5">B5*10</f>
        <v>20</v>
      </c>
      <c r="M5">
        <f>D5*5</f>
        <v>0</v>
      </c>
      <c r="N5">
        <f>10</f>
        <v>10</v>
      </c>
      <c r="O5">
        <f>SUM(I5:N5)</f>
        <v>70</v>
      </c>
    </row>
    <row r="6" spans="1:27" x14ac:dyDescent="0.35">
      <c r="A6" s="3" t="s">
        <v>178</v>
      </c>
      <c r="B6">
        <f>1+1+1+1</f>
        <v>4</v>
      </c>
      <c r="C6">
        <f>0</f>
        <v>0</v>
      </c>
      <c r="E6" s="2">
        <f>(B6)/(B6+C6+D6)</f>
        <v>1</v>
      </c>
      <c r="F6">
        <f>11+5+6+11</f>
        <v>33</v>
      </c>
      <c r="G6">
        <f>7+3+5+5</f>
        <v>20</v>
      </c>
      <c r="H6">
        <f t="shared" ref="H6:H70" si="6">F6-G6</f>
        <v>13</v>
      </c>
      <c r="I6">
        <f>60</f>
        <v>60</v>
      </c>
      <c r="L6">
        <f t="shared" si="0"/>
        <v>40</v>
      </c>
      <c r="M6">
        <f t="shared" ref="M6:M70" si="7">D6*5</f>
        <v>0</v>
      </c>
      <c r="N6">
        <f>10</f>
        <v>10</v>
      </c>
      <c r="O6">
        <f t="shared" ref="O6:O70" si="8">SUM(I6:N6)</f>
        <v>110</v>
      </c>
    </row>
    <row r="7" spans="1:27" x14ac:dyDescent="0.35">
      <c r="A7" s="3" t="s">
        <v>241</v>
      </c>
      <c r="B7">
        <f>1+1+1</f>
        <v>3</v>
      </c>
      <c r="C7">
        <f>0</f>
        <v>0</v>
      </c>
      <c r="E7" s="2">
        <f t="shared" ref="E7" si="9">(B7)/(B7+C7+D7)</f>
        <v>1</v>
      </c>
      <c r="F7">
        <f>9+16+8</f>
        <v>33</v>
      </c>
      <c r="G7">
        <f>7+3+3</f>
        <v>13</v>
      </c>
      <c r="H7">
        <f t="shared" si="6"/>
        <v>20</v>
      </c>
      <c r="I7">
        <f>60</f>
        <v>60</v>
      </c>
      <c r="L7">
        <f t="shared" ref="L7" si="10">B7*10</f>
        <v>30</v>
      </c>
      <c r="M7">
        <f t="shared" si="7"/>
        <v>0</v>
      </c>
      <c r="N7">
        <f>10</f>
        <v>10</v>
      </c>
      <c r="O7">
        <f t="shared" ref="O7" si="11">SUM(I7:N7)</f>
        <v>100</v>
      </c>
    </row>
    <row r="8" spans="1:27" x14ac:dyDescent="0.35">
      <c r="A8" s="3" t="s">
        <v>179</v>
      </c>
      <c r="B8">
        <f>1+1+1+1</f>
        <v>4</v>
      </c>
      <c r="C8">
        <f>0+1+1+1+1+1</f>
        <v>5</v>
      </c>
      <c r="E8" s="2">
        <f>(B8)/(B8+C8+D8)</f>
        <v>0.44444444444444442</v>
      </c>
      <c r="F8">
        <f>7+3+6+5+0+13+0+13+3</f>
        <v>50</v>
      </c>
      <c r="G8">
        <f>3+5+3+11+8+0+5+2+4</f>
        <v>41</v>
      </c>
      <c r="H8">
        <f t="shared" si="6"/>
        <v>9</v>
      </c>
      <c r="J8">
        <f>40</f>
        <v>40</v>
      </c>
      <c r="K8">
        <f>20+20</f>
        <v>40</v>
      </c>
      <c r="L8">
        <f t="shared" si="0"/>
        <v>40</v>
      </c>
      <c r="M8">
        <f t="shared" si="7"/>
        <v>0</v>
      </c>
      <c r="N8">
        <f>10+10+10</f>
        <v>30</v>
      </c>
      <c r="O8">
        <f t="shared" si="8"/>
        <v>150</v>
      </c>
    </row>
    <row r="9" spans="1:27" x14ac:dyDescent="0.35">
      <c r="A9" s="3" t="s">
        <v>259</v>
      </c>
      <c r="B9">
        <f>1+1</f>
        <v>2</v>
      </c>
      <c r="C9">
        <f>0</f>
        <v>0</v>
      </c>
      <c r="D9">
        <f>1</f>
        <v>1</v>
      </c>
      <c r="E9" s="2">
        <f t="shared" ref="E9" si="12">(B9)/(B9+C9+D9)</f>
        <v>0.66666666666666663</v>
      </c>
      <c r="F9">
        <f>6+2+15</f>
        <v>23</v>
      </c>
      <c r="G9">
        <f>1+2+11</f>
        <v>14</v>
      </c>
      <c r="H9">
        <f t="shared" si="6"/>
        <v>9</v>
      </c>
      <c r="I9">
        <f>60</f>
        <v>60</v>
      </c>
      <c r="L9">
        <f t="shared" si="0"/>
        <v>20</v>
      </c>
      <c r="M9">
        <f t="shared" si="7"/>
        <v>5</v>
      </c>
      <c r="N9">
        <f>10</f>
        <v>10</v>
      </c>
      <c r="O9">
        <f t="shared" si="8"/>
        <v>95</v>
      </c>
    </row>
    <row r="10" spans="1:27" x14ac:dyDescent="0.35">
      <c r="A10" s="3" t="s">
        <v>116</v>
      </c>
      <c r="B10">
        <f>1+1+1+1+1</f>
        <v>5</v>
      </c>
      <c r="C10">
        <f>1+1+1+1+1+1+1+1+1</f>
        <v>9</v>
      </c>
      <c r="E10" s="2">
        <f>(B10)/(B10+C10+D10)</f>
        <v>0.35714285714285715</v>
      </c>
      <c r="F10">
        <f>3+7+5+7+8+15+0+17+7+3+1+2+8+3</f>
        <v>86</v>
      </c>
      <c r="G10">
        <f>10+11+6+2+0+3+2+0+9+8+6+10+4+10</f>
        <v>81</v>
      </c>
      <c r="H10">
        <f t="shared" si="6"/>
        <v>5</v>
      </c>
      <c r="J10">
        <f>40+40+40</f>
        <v>120</v>
      </c>
      <c r="L10">
        <f t="shared" si="0"/>
        <v>50</v>
      </c>
      <c r="M10">
        <f t="shared" si="7"/>
        <v>0</v>
      </c>
      <c r="N10">
        <f>10+10+10+10</f>
        <v>40</v>
      </c>
      <c r="O10">
        <f t="shared" si="8"/>
        <v>210</v>
      </c>
    </row>
    <row r="11" spans="1:27" x14ac:dyDescent="0.35">
      <c r="A11" s="3" t="s">
        <v>96</v>
      </c>
      <c r="B11">
        <f>1+1+1+1</f>
        <v>4</v>
      </c>
      <c r="C11">
        <f>0</f>
        <v>0</v>
      </c>
      <c r="E11" s="2">
        <f t="shared" ref="E11:E12" si="13">(B11)/(B11+C11+D11)</f>
        <v>1</v>
      </c>
      <c r="F11">
        <f>8+10+12+12</f>
        <v>42</v>
      </c>
      <c r="G11">
        <f>7+2+0+8</f>
        <v>17</v>
      </c>
      <c r="H11">
        <f t="shared" ref="H11:H12" si="14">F11-G11</f>
        <v>25</v>
      </c>
      <c r="I11">
        <f>60</f>
        <v>60</v>
      </c>
      <c r="L11">
        <f t="shared" si="0"/>
        <v>40</v>
      </c>
      <c r="M11">
        <f t="shared" ref="M11:M12" si="15">D11*5</f>
        <v>0</v>
      </c>
      <c r="N11">
        <f>10</f>
        <v>10</v>
      </c>
      <c r="O11">
        <f t="shared" ref="O11" si="16">SUM(I11:N11)</f>
        <v>110</v>
      </c>
    </row>
    <row r="12" spans="1:27" x14ac:dyDescent="0.35">
      <c r="A12" s="3" t="s">
        <v>258</v>
      </c>
      <c r="B12">
        <f>1+1+1+1+1</f>
        <v>5</v>
      </c>
      <c r="C12">
        <f>0</f>
        <v>0</v>
      </c>
      <c r="D12">
        <f>1</f>
        <v>1</v>
      </c>
      <c r="E12" s="2">
        <f t="shared" si="13"/>
        <v>0.83333333333333337</v>
      </c>
      <c r="F12">
        <f>9+2+10+12+16+9</f>
        <v>58</v>
      </c>
      <c r="G12">
        <f>2+2+3+4+0+2</f>
        <v>13</v>
      </c>
      <c r="H12">
        <f t="shared" si="14"/>
        <v>45</v>
      </c>
      <c r="I12">
        <f>60+60</f>
        <v>120</v>
      </c>
      <c r="L12">
        <f t="shared" ref="L12" si="17">B12*10</f>
        <v>50</v>
      </c>
      <c r="M12">
        <f t="shared" si="15"/>
        <v>5</v>
      </c>
      <c r="N12">
        <f>10+10</f>
        <v>20</v>
      </c>
      <c r="O12">
        <f t="shared" ref="O12" si="18">SUM(I12:N12)</f>
        <v>195</v>
      </c>
    </row>
    <row r="13" spans="1:27" x14ac:dyDescent="0.35">
      <c r="A13" s="3" t="s">
        <v>198</v>
      </c>
      <c r="B13">
        <f>1+1+1+1+1+1+1</f>
        <v>7</v>
      </c>
      <c r="C13">
        <f>1+1+1+1</f>
        <v>4</v>
      </c>
      <c r="E13" s="2">
        <f t="shared" ref="E13:E70" si="19">(B13)/(B13+C13+D13)</f>
        <v>0.63636363636363635</v>
      </c>
      <c r="F13">
        <f>8+7+7+8+10+15+11+4+19+15+16</f>
        <v>120</v>
      </c>
      <c r="G13">
        <f>0+8+5+12+2+0+15+12+0+2+0</f>
        <v>56</v>
      </c>
      <c r="H13">
        <f t="shared" si="6"/>
        <v>64</v>
      </c>
      <c r="I13">
        <f>60</f>
        <v>60</v>
      </c>
      <c r="J13">
        <f>40+40</f>
        <v>80</v>
      </c>
      <c r="L13">
        <f t="shared" si="0"/>
        <v>70</v>
      </c>
      <c r="M13">
        <f t="shared" si="7"/>
        <v>0</v>
      </c>
      <c r="N13">
        <f>10+10+10</f>
        <v>30</v>
      </c>
      <c r="O13">
        <f t="shared" si="8"/>
        <v>240</v>
      </c>
    </row>
    <row r="14" spans="1:27" x14ac:dyDescent="0.35">
      <c r="A14" s="3" t="s">
        <v>199</v>
      </c>
      <c r="B14">
        <f>0</f>
        <v>0</v>
      </c>
      <c r="C14">
        <f>1+1+1+1+1+1+1+1+1+1+1+1</f>
        <v>12</v>
      </c>
      <c r="E14" s="2">
        <f t="shared" ref="E14:E15" si="20">(B14)/(B14+C14+D14)</f>
        <v>0</v>
      </c>
      <c r="F14">
        <f>0+2+0+0+2+3+0+5+1+0+0+2</f>
        <v>15</v>
      </c>
      <c r="G14">
        <f>13+10+12+8+13+15+17+6+3+15+19+7</f>
        <v>138</v>
      </c>
      <c r="H14">
        <f t="shared" ref="H14:H15" si="21">F14-G14</f>
        <v>-123</v>
      </c>
      <c r="J14">
        <f>40</f>
        <v>40</v>
      </c>
      <c r="L14">
        <f t="shared" si="0"/>
        <v>0</v>
      </c>
      <c r="M14">
        <f t="shared" ref="M14:M15" si="22">D14*5</f>
        <v>0</v>
      </c>
      <c r="N14">
        <f>10+10+10+10</f>
        <v>40</v>
      </c>
      <c r="O14">
        <f t="shared" ref="O14" si="23">SUM(I14:N14)</f>
        <v>80</v>
      </c>
    </row>
    <row r="15" spans="1:27" x14ac:dyDescent="0.35">
      <c r="A15" s="3" t="s">
        <v>265</v>
      </c>
      <c r="B15">
        <f>0</f>
        <v>0</v>
      </c>
      <c r="C15">
        <f>1+1+1</f>
        <v>3</v>
      </c>
      <c r="E15" s="2">
        <f t="shared" si="20"/>
        <v>0</v>
      </c>
      <c r="F15">
        <f>5+0+2</f>
        <v>7</v>
      </c>
      <c r="G15">
        <f>12+16+15</f>
        <v>43</v>
      </c>
      <c r="H15">
        <f t="shared" si="21"/>
        <v>-36</v>
      </c>
      <c r="K15">
        <f>20</f>
        <v>20</v>
      </c>
      <c r="L15">
        <f>B15*10</f>
        <v>0</v>
      </c>
      <c r="M15">
        <f t="shared" si="22"/>
        <v>0</v>
      </c>
      <c r="N15">
        <f>10</f>
        <v>10</v>
      </c>
      <c r="O15">
        <f t="shared" ref="O15" si="24">SUM(I15:N15)</f>
        <v>30</v>
      </c>
    </row>
    <row r="16" spans="1:27" x14ac:dyDescent="0.35">
      <c r="E16" s="2" t="e">
        <f t="shared" si="19"/>
        <v>#DIV/0!</v>
      </c>
      <c r="H16">
        <f t="shared" si="6"/>
        <v>0</v>
      </c>
      <c r="M16">
        <f t="shared" si="7"/>
        <v>0</v>
      </c>
      <c r="O16">
        <f t="shared" si="8"/>
        <v>0</v>
      </c>
    </row>
    <row r="17" spans="5:15" x14ac:dyDescent="0.35">
      <c r="E17" s="2" t="e">
        <f t="shared" si="19"/>
        <v>#DIV/0!</v>
      </c>
      <c r="H17">
        <f t="shared" si="6"/>
        <v>0</v>
      </c>
      <c r="M17">
        <f t="shared" si="7"/>
        <v>0</v>
      </c>
      <c r="O17">
        <f t="shared" si="8"/>
        <v>0</v>
      </c>
    </row>
    <row r="18" spans="5:15" x14ac:dyDescent="0.35">
      <c r="E18" s="2" t="e">
        <f t="shared" si="19"/>
        <v>#DIV/0!</v>
      </c>
      <c r="H18">
        <f t="shared" si="6"/>
        <v>0</v>
      </c>
      <c r="M18">
        <f t="shared" si="7"/>
        <v>0</v>
      </c>
      <c r="O18">
        <f t="shared" si="8"/>
        <v>0</v>
      </c>
    </row>
    <row r="19" spans="5:15" x14ac:dyDescent="0.35">
      <c r="E19" s="2" t="e">
        <f t="shared" si="19"/>
        <v>#DIV/0!</v>
      </c>
      <c r="H19">
        <f t="shared" si="6"/>
        <v>0</v>
      </c>
      <c r="M19">
        <f t="shared" si="7"/>
        <v>0</v>
      </c>
      <c r="O19">
        <f t="shared" si="8"/>
        <v>0</v>
      </c>
    </row>
    <row r="20" spans="5:15" x14ac:dyDescent="0.35">
      <c r="E20" s="2" t="e">
        <f t="shared" si="19"/>
        <v>#DIV/0!</v>
      </c>
      <c r="H20">
        <f t="shared" si="6"/>
        <v>0</v>
      </c>
      <c r="M20">
        <f t="shared" si="7"/>
        <v>0</v>
      </c>
      <c r="O20">
        <f t="shared" si="8"/>
        <v>0</v>
      </c>
    </row>
    <row r="21" spans="5:15" x14ac:dyDescent="0.35">
      <c r="E21" s="2" t="e">
        <f t="shared" si="19"/>
        <v>#DIV/0!</v>
      </c>
      <c r="H21">
        <f t="shared" si="6"/>
        <v>0</v>
      </c>
      <c r="M21">
        <f t="shared" si="7"/>
        <v>0</v>
      </c>
      <c r="O21">
        <f t="shared" si="8"/>
        <v>0</v>
      </c>
    </row>
    <row r="22" spans="5:15" x14ac:dyDescent="0.35">
      <c r="E22" s="2" t="e">
        <f t="shared" si="19"/>
        <v>#DIV/0!</v>
      </c>
      <c r="H22">
        <f t="shared" si="6"/>
        <v>0</v>
      </c>
      <c r="M22">
        <f t="shared" si="7"/>
        <v>0</v>
      </c>
      <c r="O22">
        <f t="shared" si="8"/>
        <v>0</v>
      </c>
    </row>
    <row r="23" spans="5:15" x14ac:dyDescent="0.35">
      <c r="E23" s="2" t="e">
        <f t="shared" si="19"/>
        <v>#DIV/0!</v>
      </c>
      <c r="H23">
        <f t="shared" si="6"/>
        <v>0</v>
      </c>
      <c r="M23">
        <f t="shared" si="7"/>
        <v>0</v>
      </c>
      <c r="O23">
        <f t="shared" si="8"/>
        <v>0</v>
      </c>
    </row>
    <row r="24" spans="5:15" x14ac:dyDescent="0.35">
      <c r="E24" s="2" t="e">
        <f t="shared" si="19"/>
        <v>#DIV/0!</v>
      </c>
      <c r="H24">
        <f t="shared" si="6"/>
        <v>0</v>
      </c>
      <c r="M24">
        <f t="shared" si="7"/>
        <v>0</v>
      </c>
      <c r="O24">
        <f t="shared" si="8"/>
        <v>0</v>
      </c>
    </row>
    <row r="25" spans="5:15" x14ac:dyDescent="0.35">
      <c r="E25" s="2" t="e">
        <f t="shared" si="19"/>
        <v>#DIV/0!</v>
      </c>
      <c r="H25">
        <f t="shared" si="6"/>
        <v>0</v>
      </c>
      <c r="M25">
        <f t="shared" si="7"/>
        <v>0</v>
      </c>
      <c r="O25">
        <f t="shared" si="8"/>
        <v>0</v>
      </c>
    </row>
    <row r="26" spans="5:15" x14ac:dyDescent="0.35">
      <c r="E26" s="2" t="e">
        <f t="shared" si="19"/>
        <v>#DIV/0!</v>
      </c>
      <c r="H26">
        <f t="shared" si="6"/>
        <v>0</v>
      </c>
      <c r="M26">
        <f t="shared" si="7"/>
        <v>0</v>
      </c>
      <c r="O26">
        <f t="shared" si="8"/>
        <v>0</v>
      </c>
    </row>
    <row r="27" spans="5:15" x14ac:dyDescent="0.35">
      <c r="E27" s="2" t="e">
        <f t="shared" si="19"/>
        <v>#DIV/0!</v>
      </c>
      <c r="H27">
        <f t="shared" si="6"/>
        <v>0</v>
      </c>
      <c r="M27">
        <f t="shared" si="7"/>
        <v>0</v>
      </c>
      <c r="O27">
        <f t="shared" si="8"/>
        <v>0</v>
      </c>
    </row>
    <row r="28" spans="5:15" x14ac:dyDescent="0.35">
      <c r="E28" s="2" t="e">
        <f t="shared" si="19"/>
        <v>#DIV/0!</v>
      </c>
      <c r="H28">
        <f t="shared" si="6"/>
        <v>0</v>
      </c>
      <c r="M28">
        <f t="shared" si="7"/>
        <v>0</v>
      </c>
      <c r="O28">
        <f t="shared" si="8"/>
        <v>0</v>
      </c>
    </row>
    <row r="29" spans="5:15" x14ac:dyDescent="0.35">
      <c r="E29" s="2" t="e">
        <f t="shared" si="19"/>
        <v>#DIV/0!</v>
      </c>
      <c r="H29">
        <f t="shared" si="6"/>
        <v>0</v>
      </c>
      <c r="M29">
        <f t="shared" si="7"/>
        <v>0</v>
      </c>
      <c r="O29">
        <f t="shared" si="8"/>
        <v>0</v>
      </c>
    </row>
    <row r="30" spans="5:15" x14ac:dyDescent="0.35">
      <c r="E30" s="2" t="e">
        <f t="shared" si="19"/>
        <v>#DIV/0!</v>
      </c>
      <c r="H30">
        <f t="shared" si="6"/>
        <v>0</v>
      </c>
      <c r="M30">
        <f t="shared" si="7"/>
        <v>0</v>
      </c>
      <c r="O30">
        <f t="shared" si="8"/>
        <v>0</v>
      </c>
    </row>
    <row r="31" spans="5:15" x14ac:dyDescent="0.35">
      <c r="E31" s="2" t="e">
        <f t="shared" si="19"/>
        <v>#DIV/0!</v>
      </c>
      <c r="H31">
        <f t="shared" si="6"/>
        <v>0</v>
      </c>
      <c r="M31">
        <f t="shared" si="7"/>
        <v>0</v>
      </c>
      <c r="O31">
        <f t="shared" si="8"/>
        <v>0</v>
      </c>
    </row>
    <row r="32" spans="5:15" x14ac:dyDescent="0.35">
      <c r="E32" s="2" t="e">
        <f t="shared" si="19"/>
        <v>#DIV/0!</v>
      </c>
      <c r="H32">
        <f t="shared" si="6"/>
        <v>0</v>
      </c>
      <c r="M32">
        <f t="shared" si="7"/>
        <v>0</v>
      </c>
      <c r="O32">
        <f t="shared" si="8"/>
        <v>0</v>
      </c>
    </row>
    <row r="33" spans="5:15" x14ac:dyDescent="0.35">
      <c r="E33" s="2" t="e">
        <f t="shared" si="19"/>
        <v>#DIV/0!</v>
      </c>
      <c r="H33">
        <f t="shared" si="6"/>
        <v>0</v>
      </c>
      <c r="M33">
        <f t="shared" si="7"/>
        <v>0</v>
      </c>
      <c r="O33">
        <f t="shared" si="8"/>
        <v>0</v>
      </c>
    </row>
    <row r="34" spans="5:15" x14ac:dyDescent="0.35">
      <c r="E34" s="2" t="e">
        <f t="shared" si="19"/>
        <v>#DIV/0!</v>
      </c>
      <c r="H34">
        <f t="shared" si="6"/>
        <v>0</v>
      </c>
      <c r="M34">
        <f t="shared" si="7"/>
        <v>0</v>
      </c>
      <c r="O34">
        <f t="shared" si="8"/>
        <v>0</v>
      </c>
    </row>
    <row r="35" spans="5:15" x14ac:dyDescent="0.35">
      <c r="E35" s="2" t="e">
        <f t="shared" si="19"/>
        <v>#DIV/0!</v>
      </c>
      <c r="H35">
        <f t="shared" si="6"/>
        <v>0</v>
      </c>
      <c r="M35">
        <f t="shared" si="7"/>
        <v>0</v>
      </c>
      <c r="O35">
        <f t="shared" si="8"/>
        <v>0</v>
      </c>
    </row>
    <row r="36" spans="5:15" x14ac:dyDescent="0.35">
      <c r="E36" s="2" t="e">
        <f t="shared" si="19"/>
        <v>#DIV/0!</v>
      </c>
      <c r="H36">
        <f t="shared" si="6"/>
        <v>0</v>
      </c>
      <c r="M36">
        <f t="shared" si="7"/>
        <v>0</v>
      </c>
      <c r="O36">
        <f t="shared" si="8"/>
        <v>0</v>
      </c>
    </row>
    <row r="37" spans="5:15" x14ac:dyDescent="0.35">
      <c r="E37" s="2" t="e">
        <f t="shared" si="19"/>
        <v>#DIV/0!</v>
      </c>
      <c r="H37">
        <f t="shared" si="6"/>
        <v>0</v>
      </c>
      <c r="M37">
        <f t="shared" si="7"/>
        <v>0</v>
      </c>
      <c r="O37">
        <f t="shared" si="8"/>
        <v>0</v>
      </c>
    </row>
    <row r="38" spans="5:15" x14ac:dyDescent="0.35">
      <c r="E38" s="2" t="e">
        <f t="shared" si="19"/>
        <v>#DIV/0!</v>
      </c>
      <c r="H38">
        <f t="shared" si="6"/>
        <v>0</v>
      </c>
      <c r="M38">
        <f t="shared" si="7"/>
        <v>0</v>
      </c>
      <c r="O38">
        <f t="shared" si="8"/>
        <v>0</v>
      </c>
    </row>
    <row r="39" spans="5:15" x14ac:dyDescent="0.35">
      <c r="E39" s="2" t="e">
        <f t="shared" si="19"/>
        <v>#DIV/0!</v>
      </c>
      <c r="H39">
        <f t="shared" si="6"/>
        <v>0</v>
      </c>
      <c r="M39">
        <f t="shared" si="7"/>
        <v>0</v>
      </c>
      <c r="O39">
        <f t="shared" si="8"/>
        <v>0</v>
      </c>
    </row>
    <row r="40" spans="5:15" x14ac:dyDescent="0.35">
      <c r="E40" s="2" t="e">
        <f t="shared" si="19"/>
        <v>#DIV/0!</v>
      </c>
      <c r="H40">
        <f t="shared" si="6"/>
        <v>0</v>
      </c>
      <c r="M40">
        <f t="shared" si="7"/>
        <v>0</v>
      </c>
      <c r="O40">
        <f t="shared" si="8"/>
        <v>0</v>
      </c>
    </row>
    <row r="41" spans="5:15" x14ac:dyDescent="0.35">
      <c r="E41" s="2" t="e">
        <f t="shared" si="19"/>
        <v>#DIV/0!</v>
      </c>
      <c r="H41">
        <f t="shared" si="6"/>
        <v>0</v>
      </c>
      <c r="M41">
        <f t="shared" si="7"/>
        <v>0</v>
      </c>
      <c r="O41">
        <f t="shared" si="8"/>
        <v>0</v>
      </c>
    </row>
    <row r="42" spans="5:15" x14ac:dyDescent="0.35">
      <c r="E42" s="2" t="e">
        <f t="shared" si="19"/>
        <v>#DIV/0!</v>
      </c>
      <c r="H42">
        <f t="shared" si="6"/>
        <v>0</v>
      </c>
      <c r="M42">
        <f t="shared" si="7"/>
        <v>0</v>
      </c>
      <c r="O42">
        <f t="shared" si="8"/>
        <v>0</v>
      </c>
    </row>
    <row r="43" spans="5:15" x14ac:dyDescent="0.35">
      <c r="E43" s="2" t="e">
        <f t="shared" si="19"/>
        <v>#DIV/0!</v>
      </c>
      <c r="H43">
        <f t="shared" si="6"/>
        <v>0</v>
      </c>
      <c r="M43">
        <f t="shared" si="7"/>
        <v>0</v>
      </c>
      <c r="O43">
        <f t="shared" si="8"/>
        <v>0</v>
      </c>
    </row>
    <row r="44" spans="5:15" x14ac:dyDescent="0.35">
      <c r="E44" s="2" t="e">
        <f t="shared" si="19"/>
        <v>#DIV/0!</v>
      </c>
      <c r="H44">
        <f t="shared" si="6"/>
        <v>0</v>
      </c>
      <c r="M44">
        <f t="shared" si="7"/>
        <v>0</v>
      </c>
      <c r="O44">
        <f t="shared" si="8"/>
        <v>0</v>
      </c>
    </row>
    <row r="45" spans="5:15" x14ac:dyDescent="0.35">
      <c r="E45" s="2" t="e">
        <f t="shared" si="19"/>
        <v>#DIV/0!</v>
      </c>
      <c r="H45">
        <f t="shared" si="6"/>
        <v>0</v>
      </c>
      <c r="M45">
        <f t="shared" si="7"/>
        <v>0</v>
      </c>
      <c r="O45">
        <f t="shared" si="8"/>
        <v>0</v>
      </c>
    </row>
    <row r="46" spans="5:15" x14ac:dyDescent="0.35">
      <c r="E46" s="2" t="e">
        <f t="shared" si="19"/>
        <v>#DIV/0!</v>
      </c>
      <c r="H46">
        <f t="shared" si="6"/>
        <v>0</v>
      </c>
      <c r="M46">
        <f t="shared" si="7"/>
        <v>0</v>
      </c>
      <c r="O46">
        <f t="shared" si="8"/>
        <v>0</v>
      </c>
    </row>
    <row r="47" spans="5:15" x14ac:dyDescent="0.35">
      <c r="E47" s="2" t="e">
        <f t="shared" si="19"/>
        <v>#DIV/0!</v>
      </c>
      <c r="H47">
        <f t="shared" si="6"/>
        <v>0</v>
      </c>
      <c r="M47">
        <f t="shared" si="7"/>
        <v>0</v>
      </c>
      <c r="O47">
        <f t="shared" si="8"/>
        <v>0</v>
      </c>
    </row>
    <row r="48" spans="5:15" x14ac:dyDescent="0.35">
      <c r="E48" s="2" t="e">
        <f t="shared" si="19"/>
        <v>#DIV/0!</v>
      </c>
      <c r="H48">
        <f t="shared" si="6"/>
        <v>0</v>
      </c>
      <c r="M48">
        <f t="shared" si="7"/>
        <v>0</v>
      </c>
      <c r="O48">
        <f t="shared" si="8"/>
        <v>0</v>
      </c>
    </row>
    <row r="49" spans="5:15" x14ac:dyDescent="0.35">
      <c r="E49" s="2" t="e">
        <f t="shared" si="19"/>
        <v>#DIV/0!</v>
      </c>
      <c r="H49">
        <f t="shared" si="6"/>
        <v>0</v>
      </c>
      <c r="M49">
        <f t="shared" si="7"/>
        <v>0</v>
      </c>
      <c r="O49">
        <f t="shared" si="8"/>
        <v>0</v>
      </c>
    </row>
    <row r="50" spans="5:15" x14ac:dyDescent="0.35">
      <c r="E50" s="2" t="e">
        <f t="shared" si="19"/>
        <v>#DIV/0!</v>
      </c>
      <c r="H50">
        <f t="shared" si="6"/>
        <v>0</v>
      </c>
      <c r="M50">
        <f t="shared" si="7"/>
        <v>0</v>
      </c>
      <c r="O50">
        <f t="shared" si="8"/>
        <v>0</v>
      </c>
    </row>
    <row r="51" spans="5:15" x14ac:dyDescent="0.35">
      <c r="E51" s="2" t="e">
        <f t="shared" si="19"/>
        <v>#DIV/0!</v>
      </c>
      <c r="H51">
        <f t="shared" si="6"/>
        <v>0</v>
      </c>
      <c r="M51">
        <f t="shared" si="7"/>
        <v>0</v>
      </c>
      <c r="O51">
        <f t="shared" si="8"/>
        <v>0</v>
      </c>
    </row>
    <row r="52" spans="5:15" x14ac:dyDescent="0.35">
      <c r="E52" s="2" t="e">
        <f t="shared" si="19"/>
        <v>#DIV/0!</v>
      </c>
      <c r="H52">
        <f t="shared" si="6"/>
        <v>0</v>
      </c>
      <c r="M52">
        <f t="shared" si="7"/>
        <v>0</v>
      </c>
      <c r="O52">
        <f t="shared" si="8"/>
        <v>0</v>
      </c>
    </row>
    <row r="53" spans="5:15" x14ac:dyDescent="0.35">
      <c r="E53" s="2" t="e">
        <f t="shared" si="19"/>
        <v>#DIV/0!</v>
      </c>
      <c r="H53">
        <f t="shared" si="6"/>
        <v>0</v>
      </c>
      <c r="M53">
        <f t="shared" si="7"/>
        <v>0</v>
      </c>
      <c r="O53">
        <f t="shared" si="8"/>
        <v>0</v>
      </c>
    </row>
    <row r="54" spans="5:15" x14ac:dyDescent="0.35">
      <c r="E54" s="2" t="e">
        <f t="shared" si="19"/>
        <v>#DIV/0!</v>
      </c>
      <c r="H54">
        <f t="shared" si="6"/>
        <v>0</v>
      </c>
      <c r="M54">
        <f t="shared" si="7"/>
        <v>0</v>
      </c>
      <c r="O54">
        <f t="shared" si="8"/>
        <v>0</v>
      </c>
    </row>
    <row r="55" spans="5:15" x14ac:dyDescent="0.35">
      <c r="E55" s="2" t="e">
        <f t="shared" si="19"/>
        <v>#DIV/0!</v>
      </c>
      <c r="H55">
        <f t="shared" si="6"/>
        <v>0</v>
      </c>
      <c r="M55">
        <f t="shared" si="7"/>
        <v>0</v>
      </c>
      <c r="O55">
        <f t="shared" si="8"/>
        <v>0</v>
      </c>
    </row>
    <row r="56" spans="5:15" x14ac:dyDescent="0.35">
      <c r="E56" s="2" t="e">
        <f t="shared" si="19"/>
        <v>#DIV/0!</v>
      </c>
      <c r="H56">
        <f t="shared" si="6"/>
        <v>0</v>
      </c>
      <c r="M56">
        <f t="shared" si="7"/>
        <v>0</v>
      </c>
      <c r="O56">
        <f t="shared" si="8"/>
        <v>0</v>
      </c>
    </row>
    <row r="57" spans="5:15" x14ac:dyDescent="0.35">
      <c r="E57" s="2" t="e">
        <f t="shared" si="19"/>
        <v>#DIV/0!</v>
      </c>
      <c r="H57">
        <f t="shared" si="6"/>
        <v>0</v>
      </c>
      <c r="M57">
        <f t="shared" si="7"/>
        <v>0</v>
      </c>
      <c r="O57">
        <f t="shared" si="8"/>
        <v>0</v>
      </c>
    </row>
    <row r="58" spans="5:15" x14ac:dyDescent="0.35">
      <c r="E58" s="2" t="e">
        <f t="shared" si="19"/>
        <v>#DIV/0!</v>
      </c>
      <c r="H58">
        <f t="shared" si="6"/>
        <v>0</v>
      </c>
      <c r="M58">
        <f t="shared" si="7"/>
        <v>0</v>
      </c>
      <c r="O58">
        <f t="shared" si="8"/>
        <v>0</v>
      </c>
    </row>
    <row r="59" spans="5:15" x14ac:dyDescent="0.35">
      <c r="E59" s="2" t="e">
        <f t="shared" si="19"/>
        <v>#DIV/0!</v>
      </c>
      <c r="H59">
        <f t="shared" si="6"/>
        <v>0</v>
      </c>
      <c r="M59">
        <f t="shared" si="7"/>
        <v>0</v>
      </c>
      <c r="O59">
        <f t="shared" si="8"/>
        <v>0</v>
      </c>
    </row>
    <row r="60" spans="5:15" x14ac:dyDescent="0.35">
      <c r="E60" s="2" t="e">
        <f t="shared" si="19"/>
        <v>#DIV/0!</v>
      </c>
      <c r="H60">
        <f t="shared" si="6"/>
        <v>0</v>
      </c>
      <c r="M60">
        <f t="shared" si="7"/>
        <v>0</v>
      </c>
      <c r="O60">
        <f t="shared" si="8"/>
        <v>0</v>
      </c>
    </row>
    <row r="61" spans="5:15" x14ac:dyDescent="0.35">
      <c r="E61" s="2" t="e">
        <f t="shared" si="19"/>
        <v>#DIV/0!</v>
      </c>
      <c r="H61">
        <f t="shared" si="6"/>
        <v>0</v>
      </c>
      <c r="M61">
        <f t="shared" si="7"/>
        <v>0</v>
      </c>
      <c r="O61">
        <f t="shared" si="8"/>
        <v>0</v>
      </c>
    </row>
    <row r="62" spans="5:15" x14ac:dyDescent="0.35">
      <c r="E62" s="2" t="e">
        <f t="shared" si="19"/>
        <v>#DIV/0!</v>
      </c>
      <c r="H62">
        <f t="shared" si="6"/>
        <v>0</v>
      </c>
      <c r="M62">
        <f t="shared" si="7"/>
        <v>0</v>
      </c>
      <c r="O62">
        <f t="shared" si="8"/>
        <v>0</v>
      </c>
    </row>
    <row r="63" spans="5:15" x14ac:dyDescent="0.35">
      <c r="E63" s="2" t="e">
        <f t="shared" si="19"/>
        <v>#DIV/0!</v>
      </c>
      <c r="H63">
        <f t="shared" si="6"/>
        <v>0</v>
      </c>
      <c r="M63">
        <f t="shared" si="7"/>
        <v>0</v>
      </c>
      <c r="O63">
        <f t="shared" si="8"/>
        <v>0</v>
      </c>
    </row>
    <row r="64" spans="5:15" x14ac:dyDescent="0.35">
      <c r="E64" s="2" t="e">
        <f t="shared" si="19"/>
        <v>#DIV/0!</v>
      </c>
      <c r="H64">
        <f t="shared" si="6"/>
        <v>0</v>
      </c>
      <c r="M64">
        <f t="shared" si="7"/>
        <v>0</v>
      </c>
      <c r="O64">
        <f t="shared" si="8"/>
        <v>0</v>
      </c>
    </row>
    <row r="65" spans="5:15" x14ac:dyDescent="0.35">
      <c r="E65" s="2" t="e">
        <f t="shared" si="19"/>
        <v>#DIV/0!</v>
      </c>
      <c r="H65">
        <f t="shared" si="6"/>
        <v>0</v>
      </c>
      <c r="M65">
        <f t="shared" si="7"/>
        <v>0</v>
      </c>
      <c r="O65">
        <f t="shared" si="8"/>
        <v>0</v>
      </c>
    </row>
    <row r="66" spans="5:15" x14ac:dyDescent="0.35">
      <c r="E66" s="2" t="e">
        <f t="shared" si="19"/>
        <v>#DIV/0!</v>
      </c>
      <c r="H66">
        <f t="shared" si="6"/>
        <v>0</v>
      </c>
      <c r="M66">
        <f t="shared" si="7"/>
        <v>0</v>
      </c>
      <c r="O66">
        <f t="shared" si="8"/>
        <v>0</v>
      </c>
    </row>
    <row r="67" spans="5:15" x14ac:dyDescent="0.35">
      <c r="E67" s="2" t="e">
        <f t="shared" si="19"/>
        <v>#DIV/0!</v>
      </c>
      <c r="H67">
        <f t="shared" si="6"/>
        <v>0</v>
      </c>
      <c r="M67">
        <f t="shared" si="7"/>
        <v>0</v>
      </c>
      <c r="O67">
        <f t="shared" si="8"/>
        <v>0</v>
      </c>
    </row>
    <row r="68" spans="5:15" x14ac:dyDescent="0.35">
      <c r="E68" s="2" t="e">
        <f t="shared" si="19"/>
        <v>#DIV/0!</v>
      </c>
      <c r="H68">
        <f t="shared" si="6"/>
        <v>0</v>
      </c>
      <c r="M68">
        <f t="shared" si="7"/>
        <v>0</v>
      </c>
      <c r="O68">
        <f t="shared" si="8"/>
        <v>0</v>
      </c>
    </row>
    <row r="69" spans="5:15" x14ac:dyDescent="0.35">
      <c r="E69" s="2" t="e">
        <f t="shared" si="19"/>
        <v>#DIV/0!</v>
      </c>
      <c r="H69">
        <f t="shared" si="6"/>
        <v>0</v>
      </c>
      <c r="M69">
        <f t="shared" si="7"/>
        <v>0</v>
      </c>
      <c r="O69">
        <f t="shared" si="8"/>
        <v>0</v>
      </c>
    </row>
    <row r="70" spans="5:15" x14ac:dyDescent="0.35">
      <c r="E70" s="2" t="e">
        <f t="shared" si="19"/>
        <v>#DIV/0!</v>
      </c>
      <c r="H70">
        <f t="shared" si="6"/>
        <v>0</v>
      </c>
      <c r="M70">
        <f t="shared" si="7"/>
        <v>0</v>
      </c>
      <c r="O70">
        <f t="shared" si="8"/>
        <v>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88"/>
  <sheetViews>
    <sheetView topLeftCell="A3" zoomScaleNormal="100" workbookViewId="0">
      <selection activeCell="H5" sqref="H5"/>
    </sheetView>
  </sheetViews>
  <sheetFormatPr defaultRowHeight="14.5" x14ac:dyDescent="0.35"/>
  <cols>
    <col min="1" max="1" width="27.7265625" style="3" customWidth="1"/>
  </cols>
  <sheetData>
    <row r="1" spans="1:27" x14ac:dyDescent="0.35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4" t="s">
        <v>17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35">
      <c r="A3" s="3" t="s">
        <v>74</v>
      </c>
      <c r="B3">
        <f>7</f>
        <v>7</v>
      </c>
      <c r="C3">
        <f>10</f>
        <v>10</v>
      </c>
      <c r="D3">
        <f>0</f>
        <v>0</v>
      </c>
      <c r="E3" s="2">
        <f t="shared" ref="E3:E58" si="0">(B3)/(B3+C3+D3)</f>
        <v>0.41176470588235292</v>
      </c>
      <c r="F3">
        <f>17+10+6+16+3+17+8+14+13+6+6+5+6+13+0</f>
        <v>140</v>
      </c>
      <c r="G3">
        <f>9+15+7+15+15+37+16+9+7+8+8+11+8+2+4</f>
        <v>171</v>
      </c>
      <c r="H3">
        <f t="shared" ref="H3:H58" si="1">F3-G3</f>
        <v>-31</v>
      </c>
      <c r="I3">
        <f>60</f>
        <v>60</v>
      </c>
      <c r="L3">
        <f t="shared" ref="L3:L58" si="2">B3*10</f>
        <v>70</v>
      </c>
      <c r="M3">
        <f t="shared" ref="M3:M58" si="3">D3*5</f>
        <v>0</v>
      </c>
      <c r="N3">
        <f>40</f>
        <v>40</v>
      </c>
      <c r="O3">
        <f t="shared" ref="O3:O58" si="4">SUM(I3:N3)</f>
        <v>170</v>
      </c>
    </row>
    <row r="4" spans="1:27" x14ac:dyDescent="0.35">
      <c r="A4" s="3" t="s">
        <v>190</v>
      </c>
      <c r="B4">
        <f>1+1+1+1</f>
        <v>4</v>
      </c>
      <c r="C4">
        <f>2+1+1+1+1</f>
        <v>6</v>
      </c>
      <c r="D4">
        <f>0</f>
        <v>0</v>
      </c>
      <c r="E4" s="2">
        <f t="shared" si="0"/>
        <v>0.4</v>
      </c>
      <c r="F4">
        <f>0+2+0+9+13+1+9+21+13+8</f>
        <v>76</v>
      </c>
      <c r="G4">
        <f>10+17+7+7+10+14+13+3+1+9</f>
        <v>91</v>
      </c>
      <c r="H4">
        <f>F4-G4</f>
        <v>-15</v>
      </c>
      <c r="J4">
        <f>40</f>
        <v>40</v>
      </c>
      <c r="K4">
        <f>20</f>
        <v>20</v>
      </c>
      <c r="L4">
        <f t="shared" si="2"/>
        <v>40</v>
      </c>
      <c r="M4">
        <f t="shared" si="3"/>
        <v>0</v>
      </c>
      <c r="N4">
        <f>10+10+10</f>
        <v>30</v>
      </c>
      <c r="O4">
        <f t="shared" si="4"/>
        <v>130</v>
      </c>
    </row>
    <row r="5" spans="1:27" x14ac:dyDescent="0.35">
      <c r="A5" s="3" t="s">
        <v>177</v>
      </c>
      <c r="B5">
        <f>1+1+1+1+1+1</f>
        <v>6</v>
      </c>
      <c r="C5">
        <f>1+1</f>
        <v>2</v>
      </c>
      <c r="D5">
        <f>1</f>
        <v>1</v>
      </c>
      <c r="E5" s="2">
        <f t="shared" si="0"/>
        <v>0.66666666666666663</v>
      </c>
      <c r="F5">
        <f>5+14+11+2+16+12+13+19+9</f>
        <v>101</v>
      </c>
      <c r="G5">
        <f>5+6+6+14+5+14+8+12+0</f>
        <v>70</v>
      </c>
      <c r="H5">
        <f t="shared" si="1"/>
        <v>31</v>
      </c>
      <c r="I5">
        <f>60</f>
        <v>60</v>
      </c>
      <c r="J5">
        <f>40</f>
        <v>40</v>
      </c>
      <c r="L5">
        <f t="shared" si="2"/>
        <v>60</v>
      </c>
      <c r="M5">
        <f t="shared" si="3"/>
        <v>5</v>
      </c>
      <c r="N5">
        <f>10+10</f>
        <v>20</v>
      </c>
      <c r="O5">
        <f t="shared" si="4"/>
        <v>185</v>
      </c>
    </row>
    <row r="6" spans="1:27" x14ac:dyDescent="0.35">
      <c r="A6" s="3" t="s">
        <v>206</v>
      </c>
      <c r="B6">
        <f>1+1+1+1+1+1+1+1</f>
        <v>8</v>
      </c>
      <c r="C6">
        <f>1+1</f>
        <v>2</v>
      </c>
      <c r="D6">
        <f>0</f>
        <v>0</v>
      </c>
      <c r="E6" s="2">
        <f t="shared" ref="E6" si="5">(B6)/(B6+C6+D6)</f>
        <v>0.8</v>
      </c>
      <c r="F6">
        <f>7+11+9+13+14+9+19+11+15+9</f>
        <v>117</v>
      </c>
      <c r="G6">
        <f>18+7+10+8+10+5+0+9+5+8</f>
        <v>80</v>
      </c>
      <c r="H6">
        <f t="shared" ref="H6" si="6">F6-G6</f>
        <v>37</v>
      </c>
      <c r="I6">
        <f>60+60</f>
        <v>120</v>
      </c>
      <c r="L6">
        <f t="shared" ref="L6" si="7">B6*10</f>
        <v>80</v>
      </c>
      <c r="M6">
        <f t="shared" ref="M6" si="8">D6*5</f>
        <v>0</v>
      </c>
      <c r="N6">
        <f>10+10+10</f>
        <v>30</v>
      </c>
      <c r="O6">
        <f t="shared" ref="O6" si="9">SUM(I6:N6)</f>
        <v>230</v>
      </c>
    </row>
    <row r="7" spans="1:27" x14ac:dyDescent="0.35">
      <c r="A7" s="3" t="s">
        <v>53</v>
      </c>
      <c r="B7">
        <f>4</f>
        <v>4</v>
      </c>
      <c r="C7">
        <f>7</f>
        <v>7</v>
      </c>
      <c r="D7">
        <f>0</f>
        <v>0</v>
      </c>
      <c r="E7" s="2">
        <f t="shared" si="0"/>
        <v>0.36363636363636365</v>
      </c>
      <c r="F7">
        <f>4+9+7+3+18+8+8+9+12+8+2</f>
        <v>88</v>
      </c>
      <c r="G7">
        <f>6+10+1+13+3+6+6+12+2+13+6</f>
        <v>78</v>
      </c>
      <c r="H7">
        <f t="shared" si="1"/>
        <v>10</v>
      </c>
      <c r="K7">
        <f>40</f>
        <v>40</v>
      </c>
      <c r="L7">
        <f t="shared" si="2"/>
        <v>40</v>
      </c>
      <c r="M7">
        <f t="shared" si="3"/>
        <v>0</v>
      </c>
      <c r="N7">
        <f>30</f>
        <v>30</v>
      </c>
      <c r="O7">
        <f t="shared" si="4"/>
        <v>110</v>
      </c>
    </row>
    <row r="8" spans="1:27" x14ac:dyDescent="0.35">
      <c r="A8" s="3" t="s">
        <v>32</v>
      </c>
      <c r="B8">
        <f>1+1+1</f>
        <v>3</v>
      </c>
      <c r="C8">
        <f>1+1+1+1</f>
        <v>4</v>
      </c>
      <c r="D8">
        <f>0</f>
        <v>0</v>
      </c>
      <c r="E8" s="2">
        <f t="shared" ref="E8" si="10">(B8)/(B8+C8+D8)</f>
        <v>0.42857142857142855</v>
      </c>
      <c r="F8">
        <f>2+16+15+4+22+1+0</f>
        <v>60</v>
      </c>
      <c r="G8">
        <f>17+2+0+7+11+8+15</f>
        <v>60</v>
      </c>
      <c r="H8">
        <f t="shared" ref="H8" si="11">F8-G8</f>
        <v>0</v>
      </c>
      <c r="K8">
        <f>20</f>
        <v>20</v>
      </c>
      <c r="L8">
        <f t="shared" ref="L8" si="12">B8*10</f>
        <v>30</v>
      </c>
      <c r="M8">
        <f t="shared" ref="M8" si="13">D8*5</f>
        <v>0</v>
      </c>
      <c r="N8">
        <f>10+10</f>
        <v>20</v>
      </c>
      <c r="O8">
        <f t="shared" ref="O8" si="14">SUM(I8:N8)</f>
        <v>70</v>
      </c>
    </row>
    <row r="9" spans="1:27" x14ac:dyDescent="0.35">
      <c r="A9" s="3" t="s">
        <v>117</v>
      </c>
      <c r="B9">
        <f>1+1+1+1+1+1+1+1+1+1+1</f>
        <v>11</v>
      </c>
      <c r="C9">
        <f>6+1+1+1+1+1+1+1+1+1</f>
        <v>15</v>
      </c>
      <c r="D9">
        <f>0</f>
        <v>0</v>
      </c>
      <c r="E9" s="2">
        <f t="shared" si="0"/>
        <v>0.42307692307692307</v>
      </c>
      <c r="F9">
        <f>0+5+1+0+2+3+3+7+21+12+11+12+9+14+9+5+7+5+9+16+11+9+5+14+11+6</f>
        <v>207</v>
      </c>
      <c r="G9">
        <f>15+14+13+19+16+12+9+11+20+13+12+11+7+1+7+12+5+13+17+3+5+8+16+2+10+8</f>
        <v>279</v>
      </c>
      <c r="H9">
        <f>F9-G9</f>
        <v>-72</v>
      </c>
      <c r="I9">
        <f>60+60</f>
        <v>120</v>
      </c>
      <c r="J9">
        <f>40</f>
        <v>40</v>
      </c>
      <c r="K9">
        <f>20</f>
        <v>20</v>
      </c>
      <c r="L9">
        <f t="shared" si="2"/>
        <v>110</v>
      </c>
      <c r="M9">
        <f t="shared" si="3"/>
        <v>0</v>
      </c>
      <c r="N9">
        <f>20+10+10+10+10+10</f>
        <v>70</v>
      </c>
      <c r="O9">
        <f t="shared" si="4"/>
        <v>360</v>
      </c>
    </row>
    <row r="10" spans="1:27" x14ac:dyDescent="0.35">
      <c r="A10" s="3" t="s">
        <v>260</v>
      </c>
      <c r="B10">
        <f>1</f>
        <v>1</v>
      </c>
      <c r="C10">
        <f>1+1</f>
        <v>2</v>
      </c>
      <c r="D10">
        <f>0</f>
        <v>0</v>
      </c>
      <c r="E10" s="2">
        <f t="shared" ref="E10" si="15">(B10)/(B10+C10+D10)</f>
        <v>0.33333333333333331</v>
      </c>
      <c r="F10">
        <f>13+0+2</f>
        <v>15</v>
      </c>
      <c r="G10">
        <f>5+8+17</f>
        <v>30</v>
      </c>
      <c r="H10">
        <f t="shared" ref="H10" si="16">F10-G10</f>
        <v>-15</v>
      </c>
      <c r="J10">
        <f>40</f>
        <v>40</v>
      </c>
      <c r="L10">
        <f t="shared" ref="L10" si="17">B10*10</f>
        <v>10</v>
      </c>
      <c r="M10">
        <f t="shared" ref="M10" si="18">D10*5</f>
        <v>0</v>
      </c>
      <c r="N10">
        <f>10</f>
        <v>10</v>
      </c>
      <c r="O10">
        <f t="shared" ref="O10" si="19">SUM(I10:N10)</f>
        <v>60</v>
      </c>
    </row>
    <row r="11" spans="1:27" x14ac:dyDescent="0.35">
      <c r="A11" s="3" t="s">
        <v>100</v>
      </c>
      <c r="B11">
        <f>3</f>
        <v>3</v>
      </c>
      <c r="C11">
        <f>2</f>
        <v>2</v>
      </c>
      <c r="D11">
        <f>0</f>
        <v>0</v>
      </c>
      <c r="E11" s="2">
        <f t="shared" si="0"/>
        <v>0.6</v>
      </c>
      <c r="F11">
        <f>7+13+6+12+10</f>
        <v>48</v>
      </c>
      <c r="G11">
        <f>4+6+9+9+1</f>
        <v>29</v>
      </c>
      <c r="H11">
        <f t="shared" si="1"/>
        <v>19</v>
      </c>
      <c r="J11">
        <f>40</f>
        <v>40</v>
      </c>
      <c r="L11">
        <f t="shared" si="2"/>
        <v>30</v>
      </c>
      <c r="M11">
        <f t="shared" si="3"/>
        <v>0</v>
      </c>
      <c r="N11">
        <f>10</f>
        <v>10</v>
      </c>
      <c r="O11">
        <f t="shared" si="4"/>
        <v>80</v>
      </c>
    </row>
    <row r="12" spans="1:27" x14ac:dyDescent="0.35">
      <c r="A12" s="3" t="s">
        <v>209</v>
      </c>
      <c r="B12">
        <f>0</f>
        <v>0</v>
      </c>
      <c r="C12">
        <f>1+1+1</f>
        <v>3</v>
      </c>
      <c r="D12">
        <f>0</f>
        <v>0</v>
      </c>
      <c r="E12" s="2">
        <f t="shared" ref="E12:E13" si="20">(B12)/(B12+C12+D12)</f>
        <v>0</v>
      </c>
      <c r="F12">
        <f>7+12+20</f>
        <v>39</v>
      </c>
      <c r="G12">
        <f>13+13+21</f>
        <v>47</v>
      </c>
      <c r="H12">
        <f t="shared" ref="H12:H13" si="21">F12-G12</f>
        <v>-8</v>
      </c>
      <c r="K12">
        <f>20</f>
        <v>20</v>
      </c>
      <c r="L12">
        <f t="shared" ref="L12:L13" si="22">B12*10</f>
        <v>0</v>
      </c>
      <c r="M12">
        <f t="shared" ref="M12:M13" si="23">D12*5</f>
        <v>0</v>
      </c>
      <c r="N12">
        <f>10</f>
        <v>10</v>
      </c>
      <c r="O12">
        <f t="shared" ref="O12" si="24">SUM(I12:N12)</f>
        <v>30</v>
      </c>
    </row>
    <row r="13" spans="1:27" x14ac:dyDescent="0.35">
      <c r="A13" s="3" t="s">
        <v>223</v>
      </c>
      <c r="B13">
        <f>1+1</f>
        <v>2</v>
      </c>
      <c r="C13">
        <f>1</f>
        <v>1</v>
      </c>
      <c r="D13">
        <f>0</f>
        <v>0</v>
      </c>
      <c r="E13" s="2">
        <f t="shared" si="20"/>
        <v>0.66666666666666663</v>
      </c>
      <c r="F13">
        <f>6+10+3</f>
        <v>19</v>
      </c>
      <c r="G13">
        <f>4+9+17</f>
        <v>30</v>
      </c>
      <c r="H13">
        <f t="shared" si="21"/>
        <v>-11</v>
      </c>
      <c r="L13">
        <f t="shared" si="22"/>
        <v>20</v>
      </c>
      <c r="M13">
        <f t="shared" si="23"/>
        <v>0</v>
      </c>
      <c r="N13">
        <f>10</f>
        <v>10</v>
      </c>
      <c r="O13">
        <f t="shared" ref="O13" si="25">SUM(I13:N13)</f>
        <v>30</v>
      </c>
    </row>
    <row r="14" spans="1:27" x14ac:dyDescent="0.35">
      <c r="A14" s="3" t="s">
        <v>27</v>
      </c>
      <c r="B14">
        <f>0</f>
        <v>0</v>
      </c>
      <c r="C14">
        <f>6</f>
        <v>6</v>
      </c>
      <c r="D14">
        <f>0</f>
        <v>0</v>
      </c>
      <c r="E14" s="2">
        <f t="shared" si="0"/>
        <v>0</v>
      </c>
      <c r="F14">
        <f>0+4+3+7+8+4</f>
        <v>26</v>
      </c>
      <c r="G14">
        <f>5+14+15+8+11+16</f>
        <v>69</v>
      </c>
      <c r="H14">
        <f t="shared" si="1"/>
        <v>-43</v>
      </c>
      <c r="L14">
        <f t="shared" si="2"/>
        <v>0</v>
      </c>
      <c r="M14">
        <f t="shared" si="3"/>
        <v>0</v>
      </c>
      <c r="N14">
        <f>20</f>
        <v>20</v>
      </c>
      <c r="O14">
        <f t="shared" si="4"/>
        <v>20</v>
      </c>
    </row>
    <row r="15" spans="1:27" x14ac:dyDescent="0.35">
      <c r="A15" s="3" t="s">
        <v>217</v>
      </c>
      <c r="B15">
        <f>1+1+1+1+1</f>
        <v>5</v>
      </c>
      <c r="C15">
        <f>1+1+1+1</f>
        <v>4</v>
      </c>
      <c r="D15">
        <f>0</f>
        <v>0</v>
      </c>
      <c r="E15" s="2">
        <f t="shared" ref="E15" si="26">(B15)/(B15+C15+D15)</f>
        <v>0.55555555555555558</v>
      </c>
      <c r="F15">
        <f>12+11+7+10+15+0+9+13+8</f>
        <v>85</v>
      </c>
      <c r="G15">
        <f>11+16+9+7+3+19+7+9+9</f>
        <v>90</v>
      </c>
      <c r="H15">
        <f t="shared" ref="H15" si="27">F15-G15</f>
        <v>-5</v>
      </c>
      <c r="J15">
        <f>40+40</f>
        <v>80</v>
      </c>
      <c r="L15">
        <f t="shared" ref="L15" si="28">B15*10</f>
        <v>50</v>
      </c>
      <c r="M15">
        <f t="shared" ref="M15" si="29">D15*5</f>
        <v>0</v>
      </c>
      <c r="N15">
        <f>10+10+10</f>
        <v>30</v>
      </c>
      <c r="O15">
        <f t="shared" ref="O15" si="30">SUM(I15:N15)</f>
        <v>160</v>
      </c>
    </row>
    <row r="16" spans="1:27" x14ac:dyDescent="0.35">
      <c r="A16" s="3" t="s">
        <v>210</v>
      </c>
      <c r="B16">
        <f>1+1+1</f>
        <v>3</v>
      </c>
      <c r="C16">
        <f>0</f>
        <v>0</v>
      </c>
      <c r="D16">
        <f>0</f>
        <v>0</v>
      </c>
      <c r="E16" s="2">
        <f t="shared" si="0"/>
        <v>1</v>
      </c>
      <c r="F16">
        <f>18+16+14</f>
        <v>48</v>
      </c>
      <c r="G16">
        <f>7+1+2</f>
        <v>10</v>
      </c>
      <c r="H16">
        <f t="shared" si="1"/>
        <v>38</v>
      </c>
      <c r="I16">
        <f>60</f>
        <v>60</v>
      </c>
      <c r="L16">
        <f t="shared" si="2"/>
        <v>30</v>
      </c>
      <c r="M16">
        <f t="shared" si="3"/>
        <v>0</v>
      </c>
      <c r="N16">
        <f>10</f>
        <v>10</v>
      </c>
      <c r="O16">
        <f t="shared" si="4"/>
        <v>100</v>
      </c>
    </row>
    <row r="17" spans="1:15" x14ac:dyDescent="0.35">
      <c r="A17" s="3" t="s">
        <v>242</v>
      </c>
      <c r="B17">
        <f>1</f>
        <v>1</v>
      </c>
      <c r="C17">
        <f>1+1</f>
        <v>2</v>
      </c>
      <c r="D17">
        <f>1</f>
        <v>1</v>
      </c>
      <c r="E17" s="2">
        <f t="shared" ref="E17" si="31">(B17)/(B17+C17+D17)</f>
        <v>0.25</v>
      </c>
      <c r="F17">
        <f>7+7+13+1</f>
        <v>28</v>
      </c>
      <c r="G17">
        <f>7+13+0+13</f>
        <v>33</v>
      </c>
      <c r="H17">
        <f t="shared" ref="H17" si="32">F17-G17</f>
        <v>-5</v>
      </c>
      <c r="J17">
        <f>40</f>
        <v>40</v>
      </c>
      <c r="L17">
        <f t="shared" ref="L17" si="33">B17*10</f>
        <v>10</v>
      </c>
      <c r="M17">
        <f t="shared" ref="M17" si="34">D17*5</f>
        <v>5</v>
      </c>
      <c r="N17">
        <f>10</f>
        <v>10</v>
      </c>
      <c r="O17">
        <f t="shared" ref="O17" si="35">SUM(I17:N17)</f>
        <v>65</v>
      </c>
    </row>
    <row r="18" spans="1:15" x14ac:dyDescent="0.35">
      <c r="A18" s="3" t="s">
        <v>64</v>
      </c>
      <c r="B18">
        <f>7</f>
        <v>7</v>
      </c>
      <c r="C18">
        <f>2</f>
        <v>2</v>
      </c>
      <c r="D18">
        <f>0</f>
        <v>0</v>
      </c>
      <c r="E18" s="2">
        <f t="shared" si="0"/>
        <v>0.77777777777777779</v>
      </c>
      <c r="F18">
        <f>13+5+10+15+6+17+9+8+11</f>
        <v>94</v>
      </c>
      <c r="G18">
        <f>2+7+3+5+8+0+6+6+10</f>
        <v>47</v>
      </c>
      <c r="H18">
        <f t="shared" si="1"/>
        <v>47</v>
      </c>
      <c r="I18">
        <f>120</f>
        <v>120</v>
      </c>
      <c r="L18">
        <f t="shared" si="2"/>
        <v>70</v>
      </c>
      <c r="M18">
        <f t="shared" si="3"/>
        <v>0</v>
      </c>
      <c r="N18">
        <f>20</f>
        <v>20</v>
      </c>
      <c r="O18">
        <f t="shared" si="4"/>
        <v>210</v>
      </c>
    </row>
    <row r="19" spans="1:15" x14ac:dyDescent="0.35">
      <c r="A19" s="3" t="s">
        <v>146</v>
      </c>
      <c r="B19">
        <f>2</f>
        <v>2</v>
      </c>
      <c r="C19">
        <f>1</f>
        <v>1</v>
      </c>
      <c r="D19">
        <f>0</f>
        <v>0</v>
      </c>
      <c r="E19" s="2">
        <f t="shared" si="0"/>
        <v>0.66666666666666663</v>
      </c>
      <c r="F19">
        <f>14+17+5</f>
        <v>36</v>
      </c>
      <c r="G19">
        <f>7+7+7</f>
        <v>21</v>
      </c>
      <c r="H19">
        <f t="shared" si="1"/>
        <v>15</v>
      </c>
      <c r="K19">
        <f>20</f>
        <v>20</v>
      </c>
      <c r="L19">
        <f t="shared" si="2"/>
        <v>20</v>
      </c>
      <c r="M19">
        <f t="shared" si="3"/>
        <v>0</v>
      </c>
      <c r="N19">
        <f>10</f>
        <v>10</v>
      </c>
      <c r="O19">
        <f t="shared" si="4"/>
        <v>50</v>
      </c>
    </row>
    <row r="20" spans="1:15" x14ac:dyDescent="0.35">
      <c r="A20" s="3" t="s">
        <v>89</v>
      </c>
      <c r="B20">
        <f>1</f>
        <v>1</v>
      </c>
      <c r="C20">
        <f>2</f>
        <v>2</v>
      </c>
      <c r="D20">
        <f>0</f>
        <v>0</v>
      </c>
      <c r="E20" s="2">
        <f t="shared" si="0"/>
        <v>0.33333333333333331</v>
      </c>
      <c r="F20">
        <f>13+7+8</f>
        <v>28</v>
      </c>
      <c r="G20">
        <f>3+10+14</f>
        <v>27</v>
      </c>
      <c r="H20">
        <f t="shared" si="1"/>
        <v>1</v>
      </c>
      <c r="J20">
        <f>40</f>
        <v>40</v>
      </c>
      <c r="L20">
        <f t="shared" si="2"/>
        <v>10</v>
      </c>
      <c r="M20">
        <f t="shared" si="3"/>
        <v>0</v>
      </c>
      <c r="N20">
        <f>10</f>
        <v>10</v>
      </c>
      <c r="O20">
        <f t="shared" si="4"/>
        <v>60</v>
      </c>
    </row>
    <row r="21" spans="1:15" x14ac:dyDescent="0.35">
      <c r="A21" s="3" t="s">
        <v>144</v>
      </c>
      <c r="B21">
        <f>2</f>
        <v>2</v>
      </c>
      <c r="C21">
        <f>2</f>
        <v>2</v>
      </c>
      <c r="D21">
        <f>0</f>
        <v>0</v>
      </c>
      <c r="E21" s="2">
        <f t="shared" si="0"/>
        <v>0.5</v>
      </c>
      <c r="F21">
        <f>22+7+7+10</f>
        <v>46</v>
      </c>
      <c r="G21">
        <f>2+14+5+14</f>
        <v>35</v>
      </c>
      <c r="H21">
        <f t="shared" si="1"/>
        <v>11</v>
      </c>
      <c r="J21">
        <f>40</f>
        <v>40</v>
      </c>
      <c r="L21">
        <f t="shared" si="2"/>
        <v>20</v>
      </c>
      <c r="M21">
        <f t="shared" si="3"/>
        <v>0</v>
      </c>
      <c r="N21">
        <f>10</f>
        <v>10</v>
      </c>
      <c r="O21">
        <f t="shared" si="4"/>
        <v>70</v>
      </c>
    </row>
    <row r="22" spans="1:15" x14ac:dyDescent="0.35">
      <c r="A22" s="3" t="s">
        <v>65</v>
      </c>
      <c r="B22">
        <f>11</f>
        <v>11</v>
      </c>
      <c r="C22">
        <f>8</f>
        <v>8</v>
      </c>
      <c r="D22">
        <f>1</f>
        <v>1</v>
      </c>
      <c r="E22" s="2">
        <f t="shared" si="0"/>
        <v>0.55000000000000004</v>
      </c>
      <c r="F22">
        <f>2+1+3+8+3+14+10+42+11+8+10+15+13+2+16+11+19+4</f>
        <v>192</v>
      </c>
      <c r="G22">
        <f>13+15+10+7+13+4+11+11+6+15+10+0+1+18+0+0+3+5</f>
        <v>142</v>
      </c>
      <c r="H22">
        <f t="shared" si="1"/>
        <v>50</v>
      </c>
      <c r="J22">
        <f>160</f>
        <v>160</v>
      </c>
      <c r="K22">
        <f>20</f>
        <v>20</v>
      </c>
      <c r="L22">
        <f t="shared" si="2"/>
        <v>110</v>
      </c>
      <c r="M22">
        <f t="shared" si="3"/>
        <v>5</v>
      </c>
      <c r="N22">
        <f>50</f>
        <v>50</v>
      </c>
      <c r="O22">
        <f t="shared" si="4"/>
        <v>345</v>
      </c>
    </row>
    <row r="23" spans="1:15" x14ac:dyDescent="0.35">
      <c r="A23" s="3" t="s">
        <v>207</v>
      </c>
      <c r="B23">
        <f>1+1+1+1+1+1</f>
        <v>6</v>
      </c>
      <c r="C23">
        <f>1+1</f>
        <v>2</v>
      </c>
      <c r="D23">
        <f>0</f>
        <v>0</v>
      </c>
      <c r="E23" s="2">
        <f t="shared" si="0"/>
        <v>0.75</v>
      </c>
      <c r="F23">
        <f>6+10+18+13+14+19+10+15</f>
        <v>105</v>
      </c>
      <c r="G23">
        <f>3+20+3+12+12+4+6+17</f>
        <v>77</v>
      </c>
      <c r="H23">
        <f t="shared" si="1"/>
        <v>28</v>
      </c>
      <c r="I23">
        <f>60</f>
        <v>60</v>
      </c>
      <c r="K23">
        <f>20</f>
        <v>20</v>
      </c>
      <c r="L23">
        <f t="shared" si="2"/>
        <v>60</v>
      </c>
      <c r="M23">
        <f t="shared" si="3"/>
        <v>0</v>
      </c>
      <c r="N23">
        <f>10+10</f>
        <v>20</v>
      </c>
      <c r="O23">
        <f t="shared" si="4"/>
        <v>160</v>
      </c>
    </row>
    <row r="24" spans="1:15" x14ac:dyDescent="0.35">
      <c r="A24" s="3" t="s">
        <v>145</v>
      </c>
      <c r="B24">
        <f>0</f>
        <v>0</v>
      </c>
      <c r="C24">
        <f>3</f>
        <v>3</v>
      </c>
      <c r="D24">
        <f>0</f>
        <v>0</v>
      </c>
      <c r="E24" s="2">
        <f t="shared" si="0"/>
        <v>0</v>
      </c>
      <c r="F24">
        <f>2+5+4</f>
        <v>11</v>
      </c>
      <c r="G24">
        <f>22+11+10</f>
        <v>43</v>
      </c>
      <c r="H24">
        <f t="shared" si="1"/>
        <v>-32</v>
      </c>
      <c r="L24">
        <f t="shared" si="2"/>
        <v>0</v>
      </c>
      <c r="M24">
        <f t="shared" si="3"/>
        <v>0</v>
      </c>
      <c r="N24">
        <f>10</f>
        <v>10</v>
      </c>
      <c r="O24">
        <f t="shared" si="4"/>
        <v>10</v>
      </c>
    </row>
    <row r="25" spans="1:15" x14ac:dyDescent="0.35">
      <c r="A25" s="3" t="s">
        <v>116</v>
      </c>
      <c r="B25">
        <f>5+1+1+1</f>
        <v>8</v>
      </c>
      <c r="C25">
        <f>1+1+1+1+1+1+1+1+1+1+1+1</f>
        <v>12</v>
      </c>
      <c r="D25">
        <f>1+1</f>
        <v>2</v>
      </c>
      <c r="E25" s="2">
        <f t="shared" si="0"/>
        <v>0.36363636363636365</v>
      </c>
      <c r="F25">
        <f>10+13+2+16+11+14+14+13+7+6+6+11+3+7+6+0+9+10+3+11+5+8</f>
        <v>185</v>
      </c>
      <c r="G25">
        <f>10+4+19+5+5+13+10+14+12+9+19+12+18+7+21+13+6+1+11+6+13+13</f>
        <v>241</v>
      </c>
      <c r="H25">
        <f t="shared" si="1"/>
        <v>-56</v>
      </c>
      <c r="I25">
        <f>60</f>
        <v>60</v>
      </c>
      <c r="K25">
        <f>20+20+20+20+20</f>
        <v>100</v>
      </c>
      <c r="L25">
        <f t="shared" si="2"/>
        <v>80</v>
      </c>
      <c r="M25">
        <f t="shared" si="3"/>
        <v>10</v>
      </c>
      <c r="N25">
        <f>20+10+10+10+10+10</f>
        <v>70</v>
      </c>
      <c r="O25">
        <f t="shared" si="4"/>
        <v>320</v>
      </c>
    </row>
    <row r="26" spans="1:15" x14ac:dyDescent="0.35">
      <c r="A26" s="3" t="s">
        <v>99</v>
      </c>
      <c r="B26">
        <f>1</f>
        <v>1</v>
      </c>
      <c r="C26">
        <f>3</f>
        <v>3</v>
      </c>
      <c r="D26">
        <f>0</f>
        <v>0</v>
      </c>
      <c r="E26" s="2">
        <f t="shared" si="0"/>
        <v>0.25</v>
      </c>
      <c r="F26">
        <f>14+6</f>
        <v>20</v>
      </c>
      <c r="G26">
        <f>21+6</f>
        <v>27</v>
      </c>
      <c r="H26">
        <f t="shared" si="1"/>
        <v>-7</v>
      </c>
      <c r="K26">
        <f>20</f>
        <v>20</v>
      </c>
      <c r="L26">
        <f t="shared" si="2"/>
        <v>10</v>
      </c>
      <c r="M26">
        <f t="shared" si="3"/>
        <v>0</v>
      </c>
      <c r="N26">
        <f>10</f>
        <v>10</v>
      </c>
      <c r="O26">
        <f t="shared" si="4"/>
        <v>40</v>
      </c>
    </row>
    <row r="27" spans="1:15" x14ac:dyDescent="0.35">
      <c r="A27" s="3" t="s">
        <v>28</v>
      </c>
      <c r="B27">
        <f>2</f>
        <v>2</v>
      </c>
      <c r="C27">
        <f>5</f>
        <v>5</v>
      </c>
      <c r="D27">
        <f>0</f>
        <v>0</v>
      </c>
      <c r="E27" s="2">
        <f t="shared" si="0"/>
        <v>0.2857142857142857</v>
      </c>
      <c r="F27">
        <f>5+2+3+3+7+11+2</f>
        <v>33</v>
      </c>
      <c r="G27">
        <f>0+10+16+18+13+8+14</f>
        <v>79</v>
      </c>
      <c r="H27">
        <f t="shared" si="1"/>
        <v>-46</v>
      </c>
      <c r="K27">
        <f>40</f>
        <v>40</v>
      </c>
      <c r="L27">
        <f t="shared" si="2"/>
        <v>20</v>
      </c>
      <c r="M27">
        <f t="shared" si="3"/>
        <v>0</v>
      </c>
      <c r="N27">
        <f>20</f>
        <v>20</v>
      </c>
      <c r="O27">
        <f t="shared" si="4"/>
        <v>80</v>
      </c>
    </row>
    <row r="28" spans="1:15" x14ac:dyDescent="0.35">
      <c r="A28" s="3" t="s">
        <v>208</v>
      </c>
      <c r="B28">
        <f>1+1</f>
        <v>2</v>
      </c>
      <c r="C28">
        <f>1</f>
        <v>1</v>
      </c>
      <c r="D28">
        <f>0</f>
        <v>0</v>
      </c>
      <c r="E28" s="2">
        <f t="shared" si="0"/>
        <v>0.66666666666666663</v>
      </c>
      <c r="F28">
        <f>16+20+9</f>
        <v>45</v>
      </c>
      <c r="G28">
        <f>3+10+6</f>
        <v>19</v>
      </c>
      <c r="H28">
        <f t="shared" si="1"/>
        <v>26</v>
      </c>
      <c r="K28">
        <f>20</f>
        <v>20</v>
      </c>
      <c r="L28">
        <f t="shared" si="2"/>
        <v>20</v>
      </c>
      <c r="M28">
        <f t="shared" si="3"/>
        <v>0</v>
      </c>
      <c r="N28">
        <f>10</f>
        <v>10</v>
      </c>
      <c r="O28">
        <f t="shared" si="4"/>
        <v>50</v>
      </c>
    </row>
    <row r="29" spans="1:15" x14ac:dyDescent="0.35">
      <c r="A29" s="3" t="s">
        <v>115</v>
      </c>
      <c r="B29">
        <f>0</f>
        <v>0</v>
      </c>
      <c r="C29">
        <f>4</f>
        <v>4</v>
      </c>
      <c r="D29">
        <f>0</f>
        <v>0</v>
      </c>
      <c r="E29" s="2">
        <f t="shared" si="0"/>
        <v>0</v>
      </c>
      <c r="F29">
        <f>9+6+8+9</f>
        <v>32</v>
      </c>
      <c r="G29">
        <f>14+8+11+17</f>
        <v>50</v>
      </c>
      <c r="H29">
        <f t="shared" si="1"/>
        <v>-18</v>
      </c>
      <c r="L29">
        <f t="shared" si="2"/>
        <v>0</v>
      </c>
      <c r="M29">
        <f t="shared" si="3"/>
        <v>0</v>
      </c>
      <c r="N29">
        <f>10</f>
        <v>10</v>
      </c>
      <c r="O29">
        <f t="shared" si="4"/>
        <v>10</v>
      </c>
    </row>
    <row r="30" spans="1:15" x14ac:dyDescent="0.35">
      <c r="A30" s="3" t="s">
        <v>38</v>
      </c>
      <c r="B30">
        <f>9</f>
        <v>9</v>
      </c>
      <c r="C30">
        <f>10</f>
        <v>10</v>
      </c>
      <c r="D30">
        <f>0</f>
        <v>0</v>
      </c>
      <c r="E30" s="2">
        <f t="shared" si="0"/>
        <v>0.47368421052631576</v>
      </c>
      <c r="F30">
        <f>6+8+7+13+5+0+14+16+3+6+0+17+17+12+5+7+10+13</f>
        <v>159</v>
      </c>
      <c r="G30">
        <f>4+12+6+3+9+21+8+15+7+17+8+9+11+16+17+4+14</f>
        <v>181</v>
      </c>
      <c r="H30">
        <f t="shared" si="1"/>
        <v>-22</v>
      </c>
      <c r="I30">
        <f>60</f>
        <v>60</v>
      </c>
      <c r="K30">
        <f>20</f>
        <v>20</v>
      </c>
      <c r="L30">
        <f t="shared" si="2"/>
        <v>90</v>
      </c>
      <c r="M30">
        <f t="shared" si="3"/>
        <v>0</v>
      </c>
      <c r="N30">
        <f>40</f>
        <v>40</v>
      </c>
      <c r="O30">
        <f t="shared" si="4"/>
        <v>210</v>
      </c>
    </row>
    <row r="31" spans="1:15" x14ac:dyDescent="0.35">
      <c r="A31" s="3" t="s">
        <v>31</v>
      </c>
      <c r="B31">
        <f>19</f>
        <v>19</v>
      </c>
      <c r="C31">
        <f>6</f>
        <v>6</v>
      </c>
      <c r="D31">
        <f>0</f>
        <v>0</v>
      </c>
      <c r="E31" s="2">
        <f t="shared" si="0"/>
        <v>0.76</v>
      </c>
      <c r="F31">
        <f>10+2+15+4+7+15+5+15+11+7+15+1+5+10+16+11+47+15+15+4+14+19+18</f>
        <v>281</v>
      </c>
      <c r="G31">
        <f>2+11+3+8+5+1+15+10+7+4+3+13+7+7+4+10+10+3+8+13+5+2+2</f>
        <v>153</v>
      </c>
      <c r="H31">
        <f t="shared" si="1"/>
        <v>128</v>
      </c>
      <c r="I31">
        <f>180</f>
        <v>180</v>
      </c>
      <c r="J31">
        <f>120</f>
        <v>120</v>
      </c>
      <c r="L31">
        <f t="shared" si="2"/>
        <v>190</v>
      </c>
      <c r="M31">
        <f t="shared" si="3"/>
        <v>0</v>
      </c>
      <c r="N31">
        <f>60</f>
        <v>60</v>
      </c>
      <c r="O31">
        <f t="shared" si="4"/>
        <v>550</v>
      </c>
    </row>
    <row r="32" spans="1:15" x14ac:dyDescent="0.35">
      <c r="A32" s="3" t="s">
        <v>30</v>
      </c>
      <c r="B32">
        <f>6</f>
        <v>6</v>
      </c>
      <c r="C32">
        <f>0</f>
        <v>0</v>
      </c>
      <c r="D32">
        <f>0</f>
        <v>0</v>
      </c>
      <c r="E32" s="2">
        <f t="shared" si="0"/>
        <v>1</v>
      </c>
      <c r="F32">
        <f>5+11+10+14+7+14</f>
        <v>61</v>
      </c>
      <c r="G32">
        <f>4+2+6+5+5+8</f>
        <v>30</v>
      </c>
      <c r="H32">
        <f t="shared" si="1"/>
        <v>31</v>
      </c>
      <c r="I32">
        <f>120</f>
        <v>120</v>
      </c>
      <c r="L32">
        <f t="shared" si="2"/>
        <v>60</v>
      </c>
      <c r="M32">
        <f t="shared" si="3"/>
        <v>0</v>
      </c>
      <c r="N32">
        <f>20</f>
        <v>20</v>
      </c>
      <c r="O32">
        <f t="shared" si="4"/>
        <v>200</v>
      </c>
    </row>
    <row r="33" spans="1:15" x14ac:dyDescent="0.35">
      <c r="A33" s="3" t="s">
        <v>108</v>
      </c>
      <c r="B33">
        <f>1</f>
        <v>1</v>
      </c>
      <c r="C33">
        <f>1+1+1</f>
        <v>3</v>
      </c>
      <c r="D33">
        <f>0</f>
        <v>0</v>
      </c>
      <c r="E33" s="2">
        <f t="shared" ref="E33" si="36">(B33)/(B33+C33+D33)</f>
        <v>0.25</v>
      </c>
      <c r="F33">
        <f>4+5+14+5</f>
        <v>28</v>
      </c>
      <c r="G33">
        <f>10+7+5+13</f>
        <v>35</v>
      </c>
      <c r="H33">
        <f t="shared" ref="H33" si="37">F33-G33</f>
        <v>-7</v>
      </c>
      <c r="J33">
        <f>40</f>
        <v>40</v>
      </c>
      <c r="L33">
        <f t="shared" ref="L33" si="38">B33*10</f>
        <v>10</v>
      </c>
      <c r="M33">
        <f t="shared" ref="M33" si="39">D33*5</f>
        <v>0</v>
      </c>
      <c r="N33">
        <f>10</f>
        <v>10</v>
      </c>
      <c r="O33">
        <f t="shared" ref="O33" si="40">SUM(I33:N33)</f>
        <v>60</v>
      </c>
    </row>
    <row r="34" spans="1:15" x14ac:dyDescent="0.35">
      <c r="A34" s="3" t="s">
        <v>95</v>
      </c>
      <c r="B34">
        <f>1+1+1+1+1+1</f>
        <v>6</v>
      </c>
      <c r="C34">
        <f>1+1+1+1+1</f>
        <v>5</v>
      </c>
      <c r="D34">
        <f>0</f>
        <v>0</v>
      </c>
      <c r="E34" s="2">
        <f t="shared" ref="E34" si="41">(B34)/(B34+C34+D34)</f>
        <v>0.54545454545454541</v>
      </c>
      <c r="F34">
        <f>11+14+7+10+10+3+0+7+7+12+8</f>
        <v>89</v>
      </c>
      <c r="G34">
        <f>5+2+4+11+14+15+12+9+5+0+6</f>
        <v>83</v>
      </c>
      <c r="H34">
        <f t="shared" ref="H34" si="42">F34-G34</f>
        <v>6</v>
      </c>
      <c r="I34">
        <f>60</f>
        <v>60</v>
      </c>
      <c r="J34">
        <f>40</f>
        <v>40</v>
      </c>
      <c r="L34">
        <f t="shared" ref="L34" si="43">B34*10</f>
        <v>60</v>
      </c>
      <c r="M34">
        <f t="shared" ref="M34" si="44">D34*5</f>
        <v>0</v>
      </c>
      <c r="N34">
        <f>10+10+10</f>
        <v>30</v>
      </c>
      <c r="O34">
        <f t="shared" ref="O34" si="45">SUM(I34:N34)</f>
        <v>190</v>
      </c>
    </row>
    <row r="35" spans="1:15" x14ac:dyDescent="0.35">
      <c r="A35" s="3" t="s">
        <v>189</v>
      </c>
      <c r="B35">
        <f>1+1</f>
        <v>2</v>
      </c>
      <c r="C35">
        <f>1+1</f>
        <v>2</v>
      </c>
      <c r="D35">
        <f>0</f>
        <v>0</v>
      </c>
      <c r="E35" s="2">
        <f t="shared" si="0"/>
        <v>0.5</v>
      </c>
      <c r="F35">
        <f>12+5+9+0</f>
        <v>26</v>
      </c>
      <c r="G35">
        <f>7+9+6+12</f>
        <v>34</v>
      </c>
      <c r="H35">
        <f t="shared" si="1"/>
        <v>-8</v>
      </c>
      <c r="J35">
        <f>40</f>
        <v>40</v>
      </c>
      <c r="L35">
        <f t="shared" si="2"/>
        <v>20</v>
      </c>
      <c r="M35">
        <f t="shared" si="3"/>
        <v>0</v>
      </c>
      <c r="N35">
        <f>10</f>
        <v>10</v>
      </c>
      <c r="O35">
        <f t="shared" si="4"/>
        <v>70</v>
      </c>
    </row>
    <row r="36" spans="1:15" x14ac:dyDescent="0.35">
      <c r="A36" s="3" t="s">
        <v>228</v>
      </c>
      <c r="B36">
        <f>0</f>
        <v>0</v>
      </c>
      <c r="C36">
        <f>1+1+1</f>
        <v>3</v>
      </c>
      <c r="D36">
        <f>0</f>
        <v>0</v>
      </c>
      <c r="E36" s="2">
        <f t="shared" ref="E36" si="46">(B36)/(B36+C36+D36)</f>
        <v>0</v>
      </c>
      <c r="F36">
        <f>10+3+3</f>
        <v>16</v>
      </c>
      <c r="G36">
        <f>13+21+19</f>
        <v>53</v>
      </c>
      <c r="H36">
        <f t="shared" ref="H36" si="47">F36-G36</f>
        <v>-37</v>
      </c>
      <c r="L36">
        <f t="shared" ref="L36" si="48">B36*10</f>
        <v>0</v>
      </c>
      <c r="M36">
        <f t="shared" ref="M36" si="49">D36*5</f>
        <v>0</v>
      </c>
      <c r="N36">
        <f>10</f>
        <v>10</v>
      </c>
      <c r="O36">
        <f t="shared" ref="O36" si="50">SUM(I36:N36)</f>
        <v>10</v>
      </c>
    </row>
    <row r="37" spans="1:15" x14ac:dyDescent="0.35">
      <c r="A37" s="3" t="s">
        <v>88</v>
      </c>
      <c r="B37">
        <f>1+1+1+1</f>
        <v>4</v>
      </c>
      <c r="C37">
        <f>2+1</f>
        <v>3</v>
      </c>
      <c r="D37">
        <f>0</f>
        <v>0</v>
      </c>
      <c r="E37" s="2">
        <f t="shared" si="0"/>
        <v>0.5714285714285714</v>
      </c>
      <c r="F37">
        <f>5+11+4+10+3+16+13</f>
        <v>62</v>
      </c>
      <c r="G37">
        <f>14+8+14+4+18+1+5</f>
        <v>64</v>
      </c>
      <c r="H37">
        <f t="shared" si="1"/>
        <v>-2</v>
      </c>
      <c r="I37">
        <f>60</f>
        <v>60</v>
      </c>
      <c r="L37">
        <f t="shared" si="2"/>
        <v>40</v>
      </c>
      <c r="M37">
        <f t="shared" si="3"/>
        <v>0</v>
      </c>
      <c r="N37">
        <f>10+10</f>
        <v>20</v>
      </c>
      <c r="O37">
        <f t="shared" si="4"/>
        <v>120</v>
      </c>
    </row>
    <row r="38" spans="1:15" x14ac:dyDescent="0.35">
      <c r="A38" s="3" t="s">
        <v>222</v>
      </c>
      <c r="B38">
        <f>0</f>
        <v>0</v>
      </c>
      <c r="C38">
        <f>1+1+1</f>
        <v>3</v>
      </c>
      <c r="D38">
        <f>0</f>
        <v>0</v>
      </c>
      <c r="E38" s="2">
        <f t="shared" si="0"/>
        <v>0</v>
      </c>
      <c r="F38">
        <f>2+2+0</f>
        <v>4</v>
      </c>
      <c r="G38">
        <f>14+16+15</f>
        <v>45</v>
      </c>
      <c r="H38">
        <f t="shared" si="1"/>
        <v>-41</v>
      </c>
      <c r="L38">
        <f t="shared" si="2"/>
        <v>0</v>
      </c>
      <c r="M38">
        <f t="shared" si="3"/>
        <v>0</v>
      </c>
      <c r="N38">
        <f>10</f>
        <v>10</v>
      </c>
      <c r="O38">
        <f t="shared" si="4"/>
        <v>10</v>
      </c>
    </row>
    <row r="39" spans="1:15" x14ac:dyDescent="0.35">
      <c r="A39" s="3" t="s">
        <v>47</v>
      </c>
      <c r="B39">
        <f>1+1+1+1</f>
        <v>4</v>
      </c>
      <c r="C39">
        <f>0</f>
        <v>0</v>
      </c>
      <c r="D39">
        <f>0</f>
        <v>0</v>
      </c>
      <c r="E39" s="2">
        <f t="shared" ref="E39" si="51">(B39)/(B39+C39+D39)</f>
        <v>1</v>
      </c>
      <c r="F39">
        <f>17+17+17+11</f>
        <v>62</v>
      </c>
      <c r="G39">
        <f>2+2+3+10</f>
        <v>17</v>
      </c>
      <c r="H39">
        <f t="shared" ref="H39" si="52">F39-G39</f>
        <v>45</v>
      </c>
      <c r="I39">
        <f>60</f>
        <v>60</v>
      </c>
      <c r="L39">
        <f t="shared" ref="L39" si="53">B39*10</f>
        <v>40</v>
      </c>
      <c r="M39">
        <f t="shared" ref="M39" si="54">D39*5</f>
        <v>0</v>
      </c>
      <c r="N39">
        <f>10</f>
        <v>10</v>
      </c>
      <c r="O39">
        <f t="shared" ref="O39" si="55">SUM(I39:N39)</f>
        <v>110</v>
      </c>
    </row>
    <row r="40" spans="1:15" x14ac:dyDescent="0.35">
      <c r="A40" s="3" t="s">
        <v>29</v>
      </c>
      <c r="B40">
        <f>6+1+1+1+1+1+1+1+1+1+1</f>
        <v>16</v>
      </c>
      <c r="C40">
        <f>3+1+1</f>
        <v>5</v>
      </c>
      <c r="D40">
        <f>0</f>
        <v>0</v>
      </c>
      <c r="E40" s="2">
        <f t="shared" si="0"/>
        <v>0.76190476190476186</v>
      </c>
      <c r="F40">
        <f>4+11+16+6+9+12+21+9+13+6+17+7+12+12+18+13+17+8+13+12+13</f>
        <v>249</v>
      </c>
      <c r="G40">
        <f>5+3+3+10+17+8+11+5+1+14+2+0+0+5+3+5+11+13+7+0+1</f>
        <v>124</v>
      </c>
      <c r="H40">
        <f t="shared" si="1"/>
        <v>125</v>
      </c>
      <c r="I40">
        <f>60+60+60+60</f>
        <v>240</v>
      </c>
      <c r="J40">
        <f>40</f>
        <v>40</v>
      </c>
      <c r="L40">
        <f t="shared" si="2"/>
        <v>160</v>
      </c>
      <c r="M40">
        <f t="shared" si="3"/>
        <v>0</v>
      </c>
      <c r="N40">
        <f>20+10+10+10+10</f>
        <v>60</v>
      </c>
      <c r="O40">
        <f t="shared" si="4"/>
        <v>500</v>
      </c>
    </row>
    <row r="41" spans="1:15" x14ac:dyDescent="0.35">
      <c r="A41" s="3" t="s">
        <v>198</v>
      </c>
      <c r="B41">
        <f>1+1+1+1+1+1+1+1</f>
        <v>8</v>
      </c>
      <c r="C41">
        <f>1+1+1+1+1+1+1+1</f>
        <v>8</v>
      </c>
      <c r="D41">
        <f>0</f>
        <v>0</v>
      </c>
      <c r="E41" s="2">
        <f t="shared" si="0"/>
        <v>0.5</v>
      </c>
      <c r="F41">
        <f>11+16+19+6+7+21+5+10+1+11+6+17+8+10+20+12</f>
        <v>180</v>
      </c>
      <c r="G41">
        <f>12+11+3+10+10+6+9+3+10+3+12+3+13+6+5+19</f>
        <v>135</v>
      </c>
      <c r="H41">
        <f t="shared" si="1"/>
        <v>45</v>
      </c>
      <c r="J41">
        <f>40</f>
        <v>40</v>
      </c>
      <c r="K41">
        <f>20</f>
        <v>20</v>
      </c>
      <c r="L41">
        <f t="shared" si="2"/>
        <v>80</v>
      </c>
      <c r="M41">
        <f t="shared" si="3"/>
        <v>0</v>
      </c>
      <c r="N41">
        <f>10+10+10+10</f>
        <v>40</v>
      </c>
      <c r="O41">
        <f t="shared" si="4"/>
        <v>180</v>
      </c>
    </row>
    <row r="42" spans="1:15" x14ac:dyDescent="0.35">
      <c r="A42" s="3" t="s">
        <v>25</v>
      </c>
      <c r="B42">
        <f>3</f>
        <v>3</v>
      </c>
      <c r="C42">
        <f>1</f>
        <v>1</v>
      </c>
      <c r="D42">
        <f>0</f>
        <v>0</v>
      </c>
      <c r="E42" s="2">
        <f t="shared" si="0"/>
        <v>0.75</v>
      </c>
      <c r="F42">
        <f>12+3+8+8</f>
        <v>31</v>
      </c>
      <c r="G42">
        <f>3+11+1+4</f>
        <v>19</v>
      </c>
      <c r="H42">
        <f t="shared" si="1"/>
        <v>12</v>
      </c>
      <c r="I42">
        <f>60</f>
        <v>60</v>
      </c>
      <c r="L42">
        <f t="shared" si="2"/>
        <v>30</v>
      </c>
      <c r="M42">
        <f t="shared" si="3"/>
        <v>0</v>
      </c>
      <c r="N42">
        <f>10</f>
        <v>10</v>
      </c>
      <c r="O42">
        <f t="shared" si="4"/>
        <v>100</v>
      </c>
    </row>
    <row r="43" spans="1:15" x14ac:dyDescent="0.35">
      <c r="A43" s="3" t="s">
        <v>188</v>
      </c>
      <c r="B43">
        <f>1+1+1+1+1+1+1+1+1+1+1</f>
        <v>11</v>
      </c>
      <c r="C43">
        <f>1+1+1+1+1+1+1+1+1+1+1+1</f>
        <v>12</v>
      </c>
      <c r="D43">
        <f>0</f>
        <v>0</v>
      </c>
      <c r="E43" s="2">
        <f t="shared" ref="E43" si="56">(B43)/(B43+C43+D43)</f>
        <v>0.47826086956521741</v>
      </c>
      <c r="F43">
        <f>14+9+14+3+13+16+5+5+4+9+7+21+10+7+17+15+4+3+10+6+8+17+0</f>
        <v>217</v>
      </c>
      <c r="G43">
        <f>13+5+2+16+7+1+10+11+6+10+9+3+6+9+9+3+13+17+11+10+6+15+9</f>
        <v>201</v>
      </c>
      <c r="H43">
        <f t="shared" ref="H43" si="57">F43-G43</f>
        <v>16</v>
      </c>
      <c r="I43">
        <f>60</f>
        <v>60</v>
      </c>
      <c r="J43">
        <f>40+40+40</f>
        <v>120</v>
      </c>
      <c r="L43">
        <f t="shared" ref="L43" si="58">B43*10</f>
        <v>110</v>
      </c>
      <c r="M43">
        <f t="shared" ref="M43" si="59">D43*5</f>
        <v>0</v>
      </c>
      <c r="N43">
        <f>10+10+10+10+10+10</f>
        <v>60</v>
      </c>
      <c r="O43">
        <f t="shared" ref="O43" si="60">SUM(I43:N43)</f>
        <v>350</v>
      </c>
    </row>
    <row r="44" spans="1:15" x14ac:dyDescent="0.35">
      <c r="A44" s="3" t="s">
        <v>50</v>
      </c>
      <c r="B44">
        <f>1+1+1+1+1+1+1+1+1+1+1+1+1</f>
        <v>13</v>
      </c>
      <c r="C44">
        <f>1+1+1+1</f>
        <v>4</v>
      </c>
      <c r="D44">
        <f>1</f>
        <v>1</v>
      </c>
      <c r="E44" s="2">
        <f t="shared" ref="E44" si="61">(B44)/(B44+C44+D44)</f>
        <v>0.72222222222222221</v>
      </c>
      <c r="F44">
        <f>5+10+6+3+13+10+10+14+8+15+11+13+21+13+12+5+8+17</f>
        <v>194</v>
      </c>
      <c r="G44">
        <f>5+0+11+6+12+9+5+2+1+0+17+9+6+4+6+7+0+2</f>
        <v>102</v>
      </c>
      <c r="H44">
        <f t="shared" ref="H44" si="62">F44-G44</f>
        <v>92</v>
      </c>
      <c r="I44">
        <f>60+60+60</f>
        <v>180</v>
      </c>
      <c r="J44">
        <f>40</f>
        <v>40</v>
      </c>
      <c r="K44">
        <f>20</f>
        <v>20</v>
      </c>
      <c r="L44">
        <f t="shared" ref="L44" si="63">B44*10</f>
        <v>130</v>
      </c>
      <c r="M44">
        <f t="shared" ref="M44" si="64">D44*5</f>
        <v>5</v>
      </c>
      <c r="N44">
        <f>10+10+10+10+10</f>
        <v>50</v>
      </c>
      <c r="O44">
        <f t="shared" ref="O44" si="65">SUM(I44:N44)</f>
        <v>425</v>
      </c>
    </row>
    <row r="45" spans="1:15" x14ac:dyDescent="0.35">
      <c r="A45" s="3" t="s">
        <v>61</v>
      </c>
      <c r="B45">
        <f>1</f>
        <v>1</v>
      </c>
      <c r="C45">
        <f>3</f>
        <v>3</v>
      </c>
      <c r="D45">
        <f>0</f>
        <v>0</v>
      </c>
      <c r="E45" s="2">
        <f t="shared" si="0"/>
        <v>0.25</v>
      </c>
      <c r="F45">
        <f>10+11+4+15</f>
        <v>40</v>
      </c>
      <c r="G45">
        <f>9+21+17+16</f>
        <v>63</v>
      </c>
      <c r="H45">
        <f t="shared" si="1"/>
        <v>-23</v>
      </c>
      <c r="L45">
        <f t="shared" si="2"/>
        <v>10</v>
      </c>
      <c r="M45">
        <f t="shared" si="3"/>
        <v>0</v>
      </c>
      <c r="N45">
        <f>10</f>
        <v>10</v>
      </c>
      <c r="O45">
        <f t="shared" si="4"/>
        <v>20</v>
      </c>
    </row>
    <row r="46" spans="1:15" x14ac:dyDescent="0.35">
      <c r="A46" s="3" t="s">
        <v>76</v>
      </c>
      <c r="B46">
        <f>1+1+1+1</f>
        <v>4</v>
      </c>
      <c r="C46">
        <f>1+1+1+1</f>
        <v>4</v>
      </c>
      <c r="D46">
        <f>0</f>
        <v>0</v>
      </c>
      <c r="E46" s="2">
        <f t="shared" si="0"/>
        <v>0.5</v>
      </c>
      <c r="F46">
        <f>9+12+9+2+6+9+13+6</f>
        <v>66</v>
      </c>
      <c r="G46">
        <f>3+11+6+14+11+11+8+8</f>
        <v>72</v>
      </c>
      <c r="H46">
        <f t="shared" si="1"/>
        <v>-6</v>
      </c>
      <c r="J46">
        <f>40+40</f>
        <v>80</v>
      </c>
      <c r="L46">
        <f t="shared" si="2"/>
        <v>40</v>
      </c>
      <c r="M46">
        <f t="shared" si="3"/>
        <v>0</v>
      </c>
      <c r="N46">
        <f>10+10</f>
        <v>20</v>
      </c>
      <c r="O46">
        <f t="shared" si="4"/>
        <v>140</v>
      </c>
    </row>
    <row r="47" spans="1:15" x14ac:dyDescent="0.35">
      <c r="A47" s="3" t="s">
        <v>69</v>
      </c>
      <c r="B47">
        <f>1+1</f>
        <v>2</v>
      </c>
      <c r="C47">
        <f>1+1+1+1+1+1+1+1+1+1</f>
        <v>10</v>
      </c>
      <c r="D47">
        <f>0</f>
        <v>0</v>
      </c>
      <c r="E47" s="2">
        <f t="shared" ref="E47" si="66">(B47)/(B47+C47+D47)</f>
        <v>0.16666666666666666</v>
      </c>
      <c r="F47">
        <f>19+1+1+2+16+5+6+3+5+9+5+0</f>
        <v>72</v>
      </c>
      <c r="G47">
        <f>6+16+16+14+9+14+9+10+11+13+15+12</f>
        <v>145</v>
      </c>
      <c r="H47">
        <f t="shared" ref="H47" si="67">F47-G47</f>
        <v>-73</v>
      </c>
      <c r="K47">
        <f>20+20+20</f>
        <v>60</v>
      </c>
      <c r="L47">
        <f t="shared" ref="L47" si="68">B47*10</f>
        <v>20</v>
      </c>
      <c r="M47">
        <f t="shared" ref="M47" si="69">D47*5</f>
        <v>0</v>
      </c>
      <c r="N47">
        <f>10+10+10+10</f>
        <v>40</v>
      </c>
      <c r="O47">
        <f t="shared" ref="O47" si="70">SUM(I47:N47)</f>
        <v>120</v>
      </c>
    </row>
    <row r="48" spans="1:15" x14ac:dyDescent="0.35">
      <c r="A48" s="3" t="s">
        <v>26</v>
      </c>
      <c r="B48">
        <f>3</f>
        <v>3</v>
      </c>
      <c r="C48">
        <f>5</f>
        <v>5</v>
      </c>
      <c r="D48">
        <f>0</f>
        <v>0</v>
      </c>
      <c r="E48" s="2">
        <f t="shared" si="0"/>
        <v>0.375</v>
      </c>
      <c r="F48">
        <f>3+14+1+8+4+8+14+11</f>
        <v>63</v>
      </c>
      <c r="G48">
        <f>12+4+8+6+13+17+2+12</f>
        <v>74</v>
      </c>
      <c r="H48">
        <f t="shared" si="1"/>
        <v>-11</v>
      </c>
      <c r="J48">
        <f>40</f>
        <v>40</v>
      </c>
      <c r="K48">
        <f>20</f>
        <v>20</v>
      </c>
      <c r="L48">
        <f t="shared" si="2"/>
        <v>30</v>
      </c>
      <c r="M48">
        <f t="shared" si="3"/>
        <v>0</v>
      </c>
      <c r="N48">
        <f>20</f>
        <v>20</v>
      </c>
      <c r="O48">
        <f t="shared" si="4"/>
        <v>110</v>
      </c>
    </row>
    <row r="49" spans="1:15" x14ac:dyDescent="0.35">
      <c r="A49" s="3" t="s">
        <v>254</v>
      </c>
      <c r="B49">
        <f>1</f>
        <v>1</v>
      </c>
      <c r="C49">
        <f>1+1+1</f>
        <v>3</v>
      </c>
      <c r="D49">
        <f>0</f>
        <v>0</v>
      </c>
      <c r="E49" s="2">
        <f t="shared" si="0"/>
        <v>0.25</v>
      </c>
      <c r="F49">
        <f>6+3+11+1</f>
        <v>21</v>
      </c>
      <c r="G49">
        <f>21+21+5+13</f>
        <v>60</v>
      </c>
      <c r="H49">
        <f t="shared" si="1"/>
        <v>-39</v>
      </c>
      <c r="L49">
        <f t="shared" si="2"/>
        <v>10</v>
      </c>
      <c r="M49">
        <f t="shared" si="3"/>
        <v>0</v>
      </c>
      <c r="N49">
        <f>10</f>
        <v>10</v>
      </c>
      <c r="O49">
        <f t="shared" ref="O49" si="71">SUM(I49:N49)</f>
        <v>20</v>
      </c>
    </row>
    <row r="50" spans="1:15" x14ac:dyDescent="0.35">
      <c r="A50" s="3" t="s">
        <v>237</v>
      </c>
      <c r="B50">
        <f>0</f>
        <v>0</v>
      </c>
      <c r="C50">
        <f>1+1+1+1+1+1+1+1+1+1</f>
        <v>10</v>
      </c>
      <c r="D50">
        <f>0</f>
        <v>0</v>
      </c>
      <c r="E50" s="2">
        <f t="shared" ref="E50" si="72">(B50)/(B50+C50+D50)</f>
        <v>0</v>
      </c>
      <c r="F50">
        <f>11+9+1+3+3+5+2+4+6+5</f>
        <v>49</v>
      </c>
      <c r="G50">
        <f>22+16+16+16+15+11+14+19+10+20</f>
        <v>159</v>
      </c>
      <c r="H50">
        <f t="shared" ref="H50" si="73">F50-G50</f>
        <v>-110</v>
      </c>
      <c r="L50">
        <f t="shared" ref="L50" si="74">B50*10</f>
        <v>0</v>
      </c>
      <c r="M50">
        <f t="shared" ref="M50" si="75">D50*5</f>
        <v>0</v>
      </c>
      <c r="N50">
        <f>10+10+10</f>
        <v>30</v>
      </c>
      <c r="O50">
        <f t="shared" ref="O50" si="76">SUM(I50:N50)</f>
        <v>30</v>
      </c>
    </row>
    <row r="51" spans="1:15" x14ac:dyDescent="0.35">
      <c r="E51" s="2" t="e">
        <f t="shared" si="0"/>
        <v>#DIV/0!</v>
      </c>
      <c r="H51">
        <f t="shared" si="1"/>
        <v>0</v>
      </c>
      <c r="L51">
        <f t="shared" si="2"/>
        <v>0</v>
      </c>
      <c r="M51">
        <f t="shared" si="3"/>
        <v>0</v>
      </c>
      <c r="O51">
        <f t="shared" si="4"/>
        <v>0</v>
      </c>
    </row>
    <row r="52" spans="1:15" x14ac:dyDescent="0.35">
      <c r="E52" s="2" t="e">
        <f t="shared" si="0"/>
        <v>#DIV/0!</v>
      </c>
      <c r="H52">
        <f t="shared" si="1"/>
        <v>0</v>
      </c>
      <c r="L52">
        <f t="shared" si="2"/>
        <v>0</v>
      </c>
      <c r="M52">
        <f t="shared" si="3"/>
        <v>0</v>
      </c>
      <c r="O52">
        <f t="shared" si="4"/>
        <v>0</v>
      </c>
    </row>
    <row r="53" spans="1:15" x14ac:dyDescent="0.35">
      <c r="E53" s="2" t="e">
        <f t="shared" si="0"/>
        <v>#DIV/0!</v>
      </c>
      <c r="H53">
        <f t="shared" si="1"/>
        <v>0</v>
      </c>
      <c r="L53">
        <f t="shared" si="2"/>
        <v>0</v>
      </c>
      <c r="M53">
        <f t="shared" si="3"/>
        <v>0</v>
      </c>
      <c r="O53">
        <f t="shared" si="4"/>
        <v>0</v>
      </c>
    </row>
    <row r="54" spans="1:15" x14ac:dyDescent="0.35">
      <c r="E54" s="2" t="e">
        <f t="shared" si="0"/>
        <v>#DIV/0!</v>
      </c>
      <c r="H54">
        <f t="shared" si="1"/>
        <v>0</v>
      </c>
      <c r="L54">
        <f t="shared" si="2"/>
        <v>0</v>
      </c>
      <c r="M54">
        <f t="shared" si="3"/>
        <v>0</v>
      </c>
      <c r="O54">
        <f t="shared" si="4"/>
        <v>0</v>
      </c>
    </row>
    <row r="55" spans="1:15" x14ac:dyDescent="0.35">
      <c r="E55" s="2" t="e">
        <f t="shared" si="0"/>
        <v>#DIV/0!</v>
      </c>
      <c r="H55">
        <f t="shared" si="1"/>
        <v>0</v>
      </c>
      <c r="L55">
        <f t="shared" si="2"/>
        <v>0</v>
      </c>
      <c r="M55">
        <f t="shared" si="3"/>
        <v>0</v>
      </c>
      <c r="O55">
        <f t="shared" si="4"/>
        <v>0</v>
      </c>
    </row>
    <row r="56" spans="1:15" x14ac:dyDescent="0.35">
      <c r="E56" s="2" t="e">
        <f t="shared" si="0"/>
        <v>#DIV/0!</v>
      </c>
      <c r="H56">
        <f t="shared" si="1"/>
        <v>0</v>
      </c>
      <c r="L56">
        <f t="shared" si="2"/>
        <v>0</v>
      </c>
      <c r="M56">
        <f t="shared" si="3"/>
        <v>0</v>
      </c>
      <c r="O56">
        <f t="shared" si="4"/>
        <v>0</v>
      </c>
    </row>
    <row r="57" spans="1:15" x14ac:dyDescent="0.35">
      <c r="E57" s="2" t="e">
        <f t="shared" si="0"/>
        <v>#DIV/0!</v>
      </c>
      <c r="H57">
        <f t="shared" si="1"/>
        <v>0</v>
      </c>
      <c r="L57">
        <f t="shared" si="2"/>
        <v>0</v>
      </c>
      <c r="M57">
        <f t="shared" si="3"/>
        <v>0</v>
      </c>
      <c r="O57">
        <f t="shared" si="4"/>
        <v>0</v>
      </c>
    </row>
    <row r="58" spans="1:15" x14ac:dyDescent="0.35">
      <c r="E58" s="2" t="e">
        <f t="shared" si="0"/>
        <v>#DIV/0!</v>
      </c>
      <c r="H58">
        <f t="shared" si="1"/>
        <v>0</v>
      </c>
      <c r="L58">
        <f t="shared" si="2"/>
        <v>0</v>
      </c>
      <c r="M58">
        <f t="shared" si="3"/>
        <v>0</v>
      </c>
      <c r="O58">
        <f t="shared" si="4"/>
        <v>0</v>
      </c>
    </row>
    <row r="59" spans="1:15" x14ac:dyDescent="0.35">
      <c r="E59" s="2" t="e">
        <f t="shared" ref="E59:E88" si="77">(B59)/(B59+C59+D59)</f>
        <v>#DIV/0!</v>
      </c>
      <c r="H59">
        <f t="shared" ref="H59:H88" si="78">F59-G59</f>
        <v>0</v>
      </c>
      <c r="L59">
        <f t="shared" ref="L59:L78" si="79">B59*10</f>
        <v>0</v>
      </c>
      <c r="M59">
        <f t="shared" ref="M59:M88" si="80">D59*5</f>
        <v>0</v>
      </c>
      <c r="O59">
        <f t="shared" ref="O59:O88" si="81">SUM(I59:N59)</f>
        <v>0</v>
      </c>
    </row>
    <row r="60" spans="1:15" x14ac:dyDescent="0.35">
      <c r="E60" s="2" t="e">
        <f t="shared" si="77"/>
        <v>#DIV/0!</v>
      </c>
      <c r="H60">
        <f t="shared" si="78"/>
        <v>0</v>
      </c>
      <c r="L60">
        <f t="shared" si="79"/>
        <v>0</v>
      </c>
      <c r="M60">
        <f t="shared" si="80"/>
        <v>0</v>
      </c>
      <c r="O60">
        <f t="shared" si="81"/>
        <v>0</v>
      </c>
    </row>
    <row r="61" spans="1:15" x14ac:dyDescent="0.35">
      <c r="E61" s="2" t="e">
        <f t="shared" si="77"/>
        <v>#DIV/0!</v>
      </c>
      <c r="H61">
        <f t="shared" si="78"/>
        <v>0</v>
      </c>
      <c r="L61">
        <f t="shared" si="79"/>
        <v>0</v>
      </c>
      <c r="M61">
        <f t="shared" si="80"/>
        <v>0</v>
      </c>
      <c r="O61">
        <f t="shared" si="81"/>
        <v>0</v>
      </c>
    </row>
    <row r="62" spans="1:15" x14ac:dyDescent="0.35">
      <c r="E62" t="e">
        <f t="shared" si="77"/>
        <v>#DIV/0!</v>
      </c>
      <c r="H62">
        <f t="shared" si="78"/>
        <v>0</v>
      </c>
      <c r="L62">
        <f t="shared" si="79"/>
        <v>0</v>
      </c>
      <c r="M62">
        <f t="shared" si="80"/>
        <v>0</v>
      </c>
      <c r="O62">
        <f t="shared" si="81"/>
        <v>0</v>
      </c>
    </row>
    <row r="63" spans="1:15" x14ac:dyDescent="0.35">
      <c r="E63" t="e">
        <f t="shared" si="77"/>
        <v>#DIV/0!</v>
      </c>
      <c r="H63">
        <f t="shared" si="78"/>
        <v>0</v>
      </c>
      <c r="L63">
        <f t="shared" si="79"/>
        <v>0</v>
      </c>
      <c r="M63">
        <f t="shared" si="80"/>
        <v>0</v>
      </c>
      <c r="O63">
        <f t="shared" si="81"/>
        <v>0</v>
      </c>
    </row>
    <row r="64" spans="1:15" x14ac:dyDescent="0.35">
      <c r="E64" t="e">
        <f t="shared" si="77"/>
        <v>#DIV/0!</v>
      </c>
      <c r="H64">
        <f t="shared" si="78"/>
        <v>0</v>
      </c>
      <c r="L64">
        <f t="shared" si="79"/>
        <v>0</v>
      </c>
      <c r="M64">
        <f t="shared" si="80"/>
        <v>0</v>
      </c>
      <c r="O64">
        <f t="shared" si="81"/>
        <v>0</v>
      </c>
    </row>
    <row r="65" spans="5:15" x14ac:dyDescent="0.35">
      <c r="E65" t="e">
        <f t="shared" si="77"/>
        <v>#DIV/0!</v>
      </c>
      <c r="H65">
        <f t="shared" si="78"/>
        <v>0</v>
      </c>
      <c r="L65">
        <f t="shared" si="79"/>
        <v>0</v>
      </c>
      <c r="M65">
        <f t="shared" si="80"/>
        <v>0</v>
      </c>
      <c r="O65">
        <f t="shared" si="81"/>
        <v>0</v>
      </c>
    </row>
    <row r="66" spans="5:15" x14ac:dyDescent="0.35">
      <c r="E66" t="e">
        <f t="shared" si="77"/>
        <v>#DIV/0!</v>
      </c>
      <c r="H66">
        <f t="shared" si="78"/>
        <v>0</v>
      </c>
      <c r="L66">
        <f t="shared" si="79"/>
        <v>0</v>
      </c>
      <c r="M66">
        <f t="shared" si="80"/>
        <v>0</v>
      </c>
      <c r="O66">
        <f t="shared" si="81"/>
        <v>0</v>
      </c>
    </row>
    <row r="67" spans="5:15" x14ac:dyDescent="0.35">
      <c r="E67" t="e">
        <f t="shared" si="77"/>
        <v>#DIV/0!</v>
      </c>
      <c r="H67">
        <f t="shared" si="78"/>
        <v>0</v>
      </c>
      <c r="L67">
        <f t="shared" si="79"/>
        <v>0</v>
      </c>
      <c r="M67">
        <f t="shared" si="80"/>
        <v>0</v>
      </c>
      <c r="O67">
        <f t="shared" si="81"/>
        <v>0</v>
      </c>
    </row>
    <row r="68" spans="5:15" x14ac:dyDescent="0.35">
      <c r="E68" t="e">
        <f t="shared" si="77"/>
        <v>#DIV/0!</v>
      </c>
      <c r="H68">
        <f t="shared" si="78"/>
        <v>0</v>
      </c>
      <c r="L68">
        <f t="shared" si="79"/>
        <v>0</v>
      </c>
      <c r="M68">
        <f t="shared" si="80"/>
        <v>0</v>
      </c>
      <c r="O68">
        <f t="shared" si="81"/>
        <v>0</v>
      </c>
    </row>
    <row r="69" spans="5:15" x14ac:dyDescent="0.35">
      <c r="E69" t="e">
        <f t="shared" si="77"/>
        <v>#DIV/0!</v>
      </c>
      <c r="H69">
        <f t="shared" si="78"/>
        <v>0</v>
      </c>
      <c r="L69">
        <f t="shared" si="79"/>
        <v>0</v>
      </c>
      <c r="M69">
        <f t="shared" si="80"/>
        <v>0</v>
      </c>
      <c r="O69">
        <f t="shared" si="81"/>
        <v>0</v>
      </c>
    </row>
    <row r="70" spans="5:15" x14ac:dyDescent="0.35">
      <c r="E70" t="e">
        <f t="shared" si="77"/>
        <v>#DIV/0!</v>
      </c>
      <c r="H70">
        <f t="shared" si="78"/>
        <v>0</v>
      </c>
      <c r="L70">
        <f t="shared" si="79"/>
        <v>0</v>
      </c>
      <c r="M70">
        <f t="shared" si="80"/>
        <v>0</v>
      </c>
      <c r="O70">
        <f t="shared" si="81"/>
        <v>0</v>
      </c>
    </row>
    <row r="71" spans="5:15" x14ac:dyDescent="0.35">
      <c r="E71" t="e">
        <f t="shared" si="77"/>
        <v>#DIV/0!</v>
      </c>
      <c r="H71">
        <f t="shared" si="78"/>
        <v>0</v>
      </c>
      <c r="L71">
        <f t="shared" si="79"/>
        <v>0</v>
      </c>
      <c r="M71">
        <f t="shared" si="80"/>
        <v>0</v>
      </c>
      <c r="O71">
        <f t="shared" si="81"/>
        <v>0</v>
      </c>
    </row>
    <row r="72" spans="5:15" x14ac:dyDescent="0.35">
      <c r="E72" t="e">
        <f t="shared" si="77"/>
        <v>#DIV/0!</v>
      </c>
      <c r="H72">
        <f t="shared" si="78"/>
        <v>0</v>
      </c>
      <c r="L72">
        <f t="shared" si="79"/>
        <v>0</v>
      </c>
      <c r="M72">
        <f t="shared" si="80"/>
        <v>0</v>
      </c>
      <c r="O72">
        <f t="shared" si="81"/>
        <v>0</v>
      </c>
    </row>
    <row r="73" spans="5:15" x14ac:dyDescent="0.35">
      <c r="E73" t="e">
        <f t="shared" si="77"/>
        <v>#DIV/0!</v>
      </c>
      <c r="H73">
        <f t="shared" si="78"/>
        <v>0</v>
      </c>
      <c r="L73">
        <f t="shared" si="79"/>
        <v>0</v>
      </c>
      <c r="M73">
        <f t="shared" si="80"/>
        <v>0</v>
      </c>
      <c r="O73">
        <f t="shared" si="81"/>
        <v>0</v>
      </c>
    </row>
    <row r="74" spans="5:15" x14ac:dyDescent="0.35">
      <c r="E74" t="e">
        <f t="shared" si="77"/>
        <v>#DIV/0!</v>
      </c>
      <c r="H74">
        <f t="shared" si="78"/>
        <v>0</v>
      </c>
      <c r="L74">
        <f t="shared" si="79"/>
        <v>0</v>
      </c>
      <c r="M74">
        <f t="shared" si="80"/>
        <v>0</v>
      </c>
      <c r="O74">
        <f t="shared" si="81"/>
        <v>0</v>
      </c>
    </row>
    <row r="75" spans="5:15" x14ac:dyDescent="0.35">
      <c r="E75" t="e">
        <f t="shared" si="77"/>
        <v>#DIV/0!</v>
      </c>
      <c r="H75">
        <f t="shared" si="78"/>
        <v>0</v>
      </c>
      <c r="L75">
        <f t="shared" si="79"/>
        <v>0</v>
      </c>
      <c r="M75">
        <f t="shared" si="80"/>
        <v>0</v>
      </c>
      <c r="O75">
        <f t="shared" si="81"/>
        <v>0</v>
      </c>
    </row>
    <row r="76" spans="5:15" x14ac:dyDescent="0.35">
      <c r="E76" t="e">
        <f t="shared" si="77"/>
        <v>#DIV/0!</v>
      </c>
      <c r="H76">
        <f t="shared" si="78"/>
        <v>0</v>
      </c>
      <c r="L76">
        <f t="shared" si="79"/>
        <v>0</v>
      </c>
      <c r="M76">
        <f t="shared" si="80"/>
        <v>0</v>
      </c>
      <c r="O76">
        <f t="shared" si="81"/>
        <v>0</v>
      </c>
    </row>
    <row r="77" spans="5:15" x14ac:dyDescent="0.35">
      <c r="E77" t="e">
        <f t="shared" si="77"/>
        <v>#DIV/0!</v>
      </c>
      <c r="H77">
        <f t="shared" si="78"/>
        <v>0</v>
      </c>
      <c r="L77">
        <f t="shared" si="79"/>
        <v>0</v>
      </c>
      <c r="M77">
        <f t="shared" si="80"/>
        <v>0</v>
      </c>
      <c r="O77">
        <f t="shared" si="81"/>
        <v>0</v>
      </c>
    </row>
    <row r="78" spans="5:15" x14ac:dyDescent="0.35">
      <c r="E78" t="e">
        <f t="shared" si="77"/>
        <v>#DIV/0!</v>
      </c>
      <c r="H78">
        <f t="shared" si="78"/>
        <v>0</v>
      </c>
      <c r="L78">
        <f t="shared" si="79"/>
        <v>0</v>
      </c>
      <c r="M78">
        <f t="shared" si="80"/>
        <v>0</v>
      </c>
      <c r="O78">
        <f t="shared" si="81"/>
        <v>0</v>
      </c>
    </row>
    <row r="79" spans="5:15" x14ac:dyDescent="0.35">
      <c r="E79" t="e">
        <f t="shared" si="77"/>
        <v>#DIV/0!</v>
      </c>
      <c r="H79">
        <f t="shared" si="78"/>
        <v>0</v>
      </c>
      <c r="M79">
        <f t="shared" si="80"/>
        <v>0</v>
      </c>
      <c r="O79">
        <f t="shared" si="81"/>
        <v>0</v>
      </c>
    </row>
    <row r="80" spans="5:15" x14ac:dyDescent="0.35">
      <c r="E80" t="e">
        <f t="shared" si="77"/>
        <v>#DIV/0!</v>
      </c>
      <c r="H80">
        <f t="shared" si="78"/>
        <v>0</v>
      </c>
      <c r="M80">
        <f t="shared" si="80"/>
        <v>0</v>
      </c>
      <c r="O80">
        <f t="shared" si="81"/>
        <v>0</v>
      </c>
    </row>
    <row r="81" spans="5:15" x14ac:dyDescent="0.35">
      <c r="E81" t="e">
        <f t="shared" si="77"/>
        <v>#DIV/0!</v>
      </c>
      <c r="H81">
        <f t="shared" si="78"/>
        <v>0</v>
      </c>
      <c r="M81">
        <f t="shared" si="80"/>
        <v>0</v>
      </c>
      <c r="O81">
        <f t="shared" si="81"/>
        <v>0</v>
      </c>
    </row>
    <row r="82" spans="5:15" x14ac:dyDescent="0.35">
      <c r="E82" t="e">
        <f t="shared" si="77"/>
        <v>#DIV/0!</v>
      </c>
      <c r="H82">
        <f t="shared" si="78"/>
        <v>0</v>
      </c>
      <c r="M82">
        <f t="shared" si="80"/>
        <v>0</v>
      </c>
      <c r="O82">
        <f t="shared" si="81"/>
        <v>0</v>
      </c>
    </row>
    <row r="83" spans="5:15" x14ac:dyDescent="0.35">
      <c r="E83" t="e">
        <f t="shared" si="77"/>
        <v>#DIV/0!</v>
      </c>
      <c r="H83">
        <f t="shared" si="78"/>
        <v>0</v>
      </c>
      <c r="M83">
        <f t="shared" si="80"/>
        <v>0</v>
      </c>
      <c r="O83">
        <f t="shared" si="81"/>
        <v>0</v>
      </c>
    </row>
    <row r="84" spans="5:15" x14ac:dyDescent="0.35">
      <c r="E84" t="e">
        <f t="shared" si="77"/>
        <v>#DIV/0!</v>
      </c>
      <c r="H84">
        <f t="shared" si="78"/>
        <v>0</v>
      </c>
      <c r="M84">
        <f t="shared" si="80"/>
        <v>0</v>
      </c>
      <c r="O84">
        <f t="shared" si="81"/>
        <v>0</v>
      </c>
    </row>
    <row r="85" spans="5:15" x14ac:dyDescent="0.35">
      <c r="E85" t="e">
        <f t="shared" si="77"/>
        <v>#DIV/0!</v>
      </c>
      <c r="H85">
        <f t="shared" si="78"/>
        <v>0</v>
      </c>
      <c r="M85">
        <f t="shared" si="80"/>
        <v>0</v>
      </c>
      <c r="O85">
        <f t="shared" si="81"/>
        <v>0</v>
      </c>
    </row>
    <row r="86" spans="5:15" x14ac:dyDescent="0.35">
      <c r="E86" t="e">
        <f t="shared" si="77"/>
        <v>#DIV/0!</v>
      </c>
      <c r="H86">
        <f t="shared" si="78"/>
        <v>0</v>
      </c>
      <c r="M86">
        <f t="shared" si="80"/>
        <v>0</v>
      </c>
      <c r="O86">
        <f t="shared" si="81"/>
        <v>0</v>
      </c>
    </row>
    <row r="87" spans="5:15" x14ac:dyDescent="0.35">
      <c r="E87" t="e">
        <f t="shared" si="77"/>
        <v>#DIV/0!</v>
      </c>
      <c r="H87">
        <f t="shared" si="78"/>
        <v>0</v>
      </c>
      <c r="M87">
        <f t="shared" si="80"/>
        <v>0</v>
      </c>
      <c r="O87">
        <f t="shared" si="81"/>
        <v>0</v>
      </c>
    </row>
    <row r="88" spans="5:15" x14ac:dyDescent="0.35">
      <c r="E88" t="e">
        <f t="shared" si="77"/>
        <v>#DIV/0!</v>
      </c>
      <c r="H88">
        <f t="shared" si="78"/>
        <v>0</v>
      </c>
      <c r="M88">
        <f t="shared" si="80"/>
        <v>0</v>
      </c>
      <c r="O88">
        <f t="shared" si="81"/>
        <v>0</v>
      </c>
    </row>
  </sheetData>
  <sortState xmlns:xlrd2="http://schemas.microsoft.com/office/spreadsheetml/2017/richdata2" ref="A3:O87">
    <sortCondition ref="A29:A8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86"/>
  <sheetViews>
    <sheetView topLeftCell="A31" zoomScaleNormal="100" workbookViewId="0">
      <selection activeCell="H42" sqref="H42"/>
    </sheetView>
  </sheetViews>
  <sheetFormatPr defaultRowHeight="14.5" x14ac:dyDescent="0.35"/>
  <cols>
    <col min="1" max="1" width="26.81640625" style="3" customWidth="1"/>
  </cols>
  <sheetData>
    <row r="1" spans="1:27" x14ac:dyDescent="0.35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4" t="s">
        <v>18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35">
      <c r="A3" s="3" t="s">
        <v>255</v>
      </c>
      <c r="B3">
        <f>1</f>
        <v>1</v>
      </c>
      <c r="C3">
        <f>1+1</f>
        <v>2</v>
      </c>
      <c r="D3">
        <f>0</f>
        <v>0</v>
      </c>
      <c r="E3" s="2">
        <f t="shared" ref="E3" si="0">(B3)/(B3+C3+D3)</f>
        <v>0.33333333333333331</v>
      </c>
      <c r="F3">
        <f>13+8+6</f>
        <v>27</v>
      </c>
      <c r="G3">
        <f>4+12+10</f>
        <v>26</v>
      </c>
      <c r="H3">
        <f t="shared" ref="H3" si="1">F3-G3</f>
        <v>1</v>
      </c>
      <c r="K3">
        <f>20</f>
        <v>20</v>
      </c>
      <c r="L3">
        <f t="shared" ref="L3" si="2">B3*10</f>
        <v>10</v>
      </c>
      <c r="M3">
        <f t="shared" ref="M3" si="3">D3*5</f>
        <v>0</v>
      </c>
      <c r="N3">
        <f>10</f>
        <v>10</v>
      </c>
      <c r="O3">
        <f t="shared" ref="O3" si="4">SUM(I3:N3)</f>
        <v>40</v>
      </c>
    </row>
    <row r="4" spans="1:27" x14ac:dyDescent="0.35">
      <c r="A4" s="3" t="s">
        <v>66</v>
      </c>
      <c r="B4">
        <f>4+1</f>
        <v>5</v>
      </c>
      <c r="C4">
        <f>3+1+1+1+1+1+1</f>
        <v>9</v>
      </c>
      <c r="D4">
        <f>0</f>
        <v>0</v>
      </c>
      <c r="E4" s="2">
        <f t="shared" ref="E4:E55" si="5">(B4)/(B4+C4+D4)</f>
        <v>0.35714285714285715</v>
      </c>
      <c r="F4">
        <f>11+3+13+11+4+4+5+0+2+2+16+10+3+2</f>
        <v>86</v>
      </c>
      <c r="G4">
        <f>5+4+4+4+7+3+7+12+7+7+5+14+14+17</f>
        <v>110</v>
      </c>
      <c r="H4">
        <f t="shared" ref="H4:H55" si="6">F4-G4</f>
        <v>-24</v>
      </c>
      <c r="I4">
        <f>60</f>
        <v>60</v>
      </c>
      <c r="K4">
        <f>20+20</f>
        <v>40</v>
      </c>
      <c r="L4">
        <f t="shared" ref="L4:L63" si="7">B4*10</f>
        <v>50</v>
      </c>
      <c r="M4">
        <f t="shared" ref="M4:M24" si="8">D4*5</f>
        <v>0</v>
      </c>
      <c r="N4">
        <f>20+10+10</f>
        <v>40</v>
      </c>
      <c r="O4">
        <f t="shared" ref="O4:O55" si="9">SUM(I4:N4)</f>
        <v>190</v>
      </c>
    </row>
    <row r="5" spans="1:27" ht="14.25" customHeight="1" x14ac:dyDescent="0.35">
      <c r="A5" s="3" t="s">
        <v>53</v>
      </c>
      <c r="B5">
        <f>6+1+1+1+1</f>
        <v>10</v>
      </c>
      <c r="C5">
        <f>3+1+1+1+1+1+1+1</f>
        <v>10</v>
      </c>
      <c r="D5">
        <f>0</f>
        <v>0</v>
      </c>
      <c r="E5" s="2">
        <f t="shared" si="5"/>
        <v>0.5</v>
      </c>
      <c r="F5">
        <f>16+26+9+8+12+14+17+9+1+4+5+10+20+5+11+7+1+0+6+3</f>
        <v>184</v>
      </c>
      <c r="G5">
        <f>5+3+13+10+0+1+2+6+16+5+8+14+3+15+1+3+17+11+4+15</f>
        <v>152</v>
      </c>
      <c r="H5">
        <f t="shared" si="6"/>
        <v>32</v>
      </c>
      <c r="I5">
        <f>60</f>
        <v>60</v>
      </c>
      <c r="J5">
        <f>40+40</f>
        <v>80</v>
      </c>
      <c r="K5">
        <f>20</f>
        <v>20</v>
      </c>
      <c r="L5">
        <f t="shared" si="7"/>
        <v>100</v>
      </c>
      <c r="M5">
        <f t="shared" si="8"/>
        <v>0</v>
      </c>
      <c r="N5">
        <f>20+10+10+10</f>
        <v>50</v>
      </c>
      <c r="O5">
        <f t="shared" si="9"/>
        <v>310</v>
      </c>
    </row>
    <row r="6" spans="1:27" x14ac:dyDescent="0.35">
      <c r="A6" s="3" t="s">
        <v>229</v>
      </c>
      <c r="B6">
        <f>1+1+1+1+1+1+1+1</f>
        <v>8</v>
      </c>
      <c r="C6">
        <f>0</f>
        <v>0</v>
      </c>
      <c r="D6">
        <f>0</f>
        <v>0</v>
      </c>
      <c r="E6" s="2">
        <f t="shared" ref="E6" si="10">(B6)/(B6+C6+D6)</f>
        <v>1</v>
      </c>
      <c r="F6">
        <f>6+5+8+5+9+14+15+19</f>
        <v>81</v>
      </c>
      <c r="G6">
        <f>4+4+4+2+8+2+0+4</f>
        <v>28</v>
      </c>
      <c r="H6">
        <f t="shared" ref="H6" si="11">F6-G6</f>
        <v>53</v>
      </c>
      <c r="I6">
        <f>60+60</f>
        <v>120</v>
      </c>
      <c r="L6">
        <f t="shared" ref="L6" si="12">B6*10</f>
        <v>80</v>
      </c>
      <c r="M6">
        <f t="shared" si="8"/>
        <v>0</v>
      </c>
      <c r="N6">
        <f>10+10</f>
        <v>20</v>
      </c>
      <c r="O6">
        <f t="shared" ref="O6" si="13">SUM(I6:N6)</f>
        <v>220</v>
      </c>
    </row>
    <row r="7" spans="1:27" x14ac:dyDescent="0.35">
      <c r="A7" s="3" t="s">
        <v>46</v>
      </c>
      <c r="B7">
        <f>14</f>
        <v>14</v>
      </c>
      <c r="C7">
        <f>11</f>
        <v>11</v>
      </c>
      <c r="D7">
        <f>1</f>
        <v>1</v>
      </c>
      <c r="E7" s="2">
        <f t="shared" si="5"/>
        <v>0.53846153846153844</v>
      </c>
      <c r="F7">
        <f>13+8+6+6+11+6+12+10+11+9+3+13+14+3+16+14+8+13+6+4+14+12+6+9+7</f>
        <v>234</v>
      </c>
      <c r="G7">
        <f>8+9+7+6+10+6+4+5+6+2+5+8+6+13+3+7+7+12+16+7+10+2+9+19+9</f>
        <v>196</v>
      </c>
      <c r="H7">
        <f t="shared" si="6"/>
        <v>38</v>
      </c>
      <c r="I7">
        <f>60</f>
        <v>60</v>
      </c>
      <c r="J7">
        <f>80</f>
        <v>80</v>
      </c>
      <c r="K7">
        <f>20</f>
        <v>20</v>
      </c>
      <c r="L7">
        <f t="shared" si="7"/>
        <v>140</v>
      </c>
      <c r="M7">
        <f t="shared" si="8"/>
        <v>5</v>
      </c>
      <c r="N7">
        <f>60</f>
        <v>60</v>
      </c>
      <c r="O7">
        <f t="shared" si="9"/>
        <v>365</v>
      </c>
    </row>
    <row r="8" spans="1:27" x14ac:dyDescent="0.35">
      <c r="A8" s="3" t="s">
        <v>196</v>
      </c>
      <c r="B8">
        <f>1+1+1+1+1</f>
        <v>5</v>
      </c>
      <c r="C8">
        <f>1+1+1+1+1+1+1+1+1</f>
        <v>9</v>
      </c>
      <c r="D8">
        <f>0</f>
        <v>0</v>
      </c>
      <c r="E8" s="2">
        <f t="shared" si="5"/>
        <v>0.35714285714285715</v>
      </c>
      <c r="F8">
        <f>5+4+6+5+1+1+1+6+11+7+12+5+15+1</f>
        <v>80</v>
      </c>
      <c r="G8">
        <f>4+14+10+11+11+9+5+19+5+1+5+7+3+12</f>
        <v>116</v>
      </c>
      <c r="H8">
        <f t="shared" si="6"/>
        <v>-36</v>
      </c>
      <c r="I8">
        <f>60</f>
        <v>60</v>
      </c>
      <c r="J8">
        <f>40</f>
        <v>40</v>
      </c>
      <c r="K8">
        <f>20</f>
        <v>20</v>
      </c>
      <c r="L8">
        <f t="shared" si="7"/>
        <v>50</v>
      </c>
      <c r="M8">
        <f t="shared" ref="M8:M9" si="14">D8*5</f>
        <v>0</v>
      </c>
      <c r="N8">
        <f>10+10+10+10</f>
        <v>40</v>
      </c>
      <c r="O8">
        <f t="shared" si="9"/>
        <v>210</v>
      </c>
    </row>
    <row r="9" spans="1:27" x14ac:dyDescent="0.35">
      <c r="A9" s="3" t="s">
        <v>261</v>
      </c>
      <c r="B9">
        <f>0</f>
        <v>0</v>
      </c>
      <c r="C9">
        <f>1+1+1</f>
        <v>3</v>
      </c>
      <c r="D9">
        <f>0</f>
        <v>0</v>
      </c>
      <c r="E9" s="2">
        <f t="shared" ref="E9" si="15">(B9)/(B9+C9+D9)</f>
        <v>0</v>
      </c>
      <c r="F9">
        <f>4+4+1</f>
        <v>9</v>
      </c>
      <c r="G9">
        <f>22+20+11</f>
        <v>53</v>
      </c>
      <c r="H9">
        <f t="shared" ref="H9" si="16">F9-G9</f>
        <v>-44</v>
      </c>
      <c r="L9">
        <f t="shared" ref="L9" si="17">B9*10</f>
        <v>0</v>
      </c>
      <c r="M9">
        <f t="shared" si="14"/>
        <v>0</v>
      </c>
      <c r="N9">
        <f>10</f>
        <v>10</v>
      </c>
      <c r="O9">
        <f t="shared" ref="O9" si="18">SUM(I9:N9)</f>
        <v>10</v>
      </c>
    </row>
    <row r="10" spans="1:27" x14ac:dyDescent="0.35">
      <c r="A10" s="3" t="s">
        <v>195</v>
      </c>
      <c r="B10">
        <f>0+1+1+1</f>
        <v>3</v>
      </c>
      <c r="C10">
        <f>1+1+1+1+1+1+1</f>
        <v>7</v>
      </c>
      <c r="D10">
        <f>1</f>
        <v>1</v>
      </c>
      <c r="E10" s="2">
        <f t="shared" ref="E10" si="19">(B10)/(B10+C10+D10)</f>
        <v>0.27272727272727271</v>
      </c>
      <c r="F10">
        <f>2+4+14+3+4+7+2+2+20+11+0</f>
        <v>69</v>
      </c>
      <c r="G10">
        <f>12+11+10+15+5+7+10+4+4+1+15</f>
        <v>94</v>
      </c>
      <c r="H10">
        <f t="shared" ref="H10" si="20">F10-G10</f>
        <v>-25</v>
      </c>
      <c r="K10">
        <f>20</f>
        <v>20</v>
      </c>
      <c r="L10">
        <f t="shared" ref="L10" si="21">B10*10</f>
        <v>30</v>
      </c>
      <c r="M10">
        <f t="shared" si="8"/>
        <v>5</v>
      </c>
      <c r="N10">
        <f>10+10+10</f>
        <v>30</v>
      </c>
      <c r="O10">
        <f t="shared" ref="O10" si="22">SUM(I10:N10)</f>
        <v>85</v>
      </c>
    </row>
    <row r="11" spans="1:27" x14ac:dyDescent="0.35">
      <c r="A11" s="3" t="s">
        <v>100</v>
      </c>
      <c r="B11">
        <f>3+1+1+1</f>
        <v>6</v>
      </c>
      <c r="C11">
        <f>1+1</f>
        <v>2</v>
      </c>
      <c r="D11">
        <f>0</f>
        <v>0</v>
      </c>
      <c r="E11" s="2">
        <f t="shared" si="5"/>
        <v>0.75</v>
      </c>
      <c r="F11">
        <f>21+17+10+21+7+5+4</f>
        <v>85</v>
      </c>
      <c r="G11">
        <f>7+11+6+2+3+4+12</f>
        <v>45</v>
      </c>
      <c r="H11">
        <f t="shared" si="6"/>
        <v>40</v>
      </c>
      <c r="J11">
        <f>40+40</f>
        <v>80</v>
      </c>
      <c r="L11">
        <f t="shared" si="7"/>
        <v>60</v>
      </c>
      <c r="M11">
        <f t="shared" si="8"/>
        <v>0</v>
      </c>
      <c r="N11">
        <f>10+10</f>
        <v>20</v>
      </c>
      <c r="O11">
        <f t="shared" si="9"/>
        <v>160</v>
      </c>
    </row>
    <row r="12" spans="1:27" x14ac:dyDescent="0.35">
      <c r="A12" s="3" t="s">
        <v>90</v>
      </c>
      <c r="B12">
        <f>6</f>
        <v>6</v>
      </c>
      <c r="C12">
        <f>2</f>
        <v>2</v>
      </c>
      <c r="D12">
        <v>0</v>
      </c>
      <c r="E12" s="2">
        <f t="shared" si="5"/>
        <v>0.75</v>
      </c>
      <c r="F12">
        <f>14+0+10+0+9+8+16+7</f>
        <v>64</v>
      </c>
      <c r="G12">
        <f>1+14+6+15+4+1+7+8</f>
        <v>56</v>
      </c>
      <c r="H12">
        <f t="shared" si="6"/>
        <v>8</v>
      </c>
      <c r="I12">
        <f>60</f>
        <v>60</v>
      </c>
      <c r="J12">
        <f>40</f>
        <v>40</v>
      </c>
      <c r="L12">
        <f t="shared" si="7"/>
        <v>60</v>
      </c>
      <c r="M12">
        <f t="shared" si="8"/>
        <v>0</v>
      </c>
      <c r="N12">
        <f>20</f>
        <v>20</v>
      </c>
      <c r="O12">
        <f t="shared" si="9"/>
        <v>180</v>
      </c>
    </row>
    <row r="13" spans="1:27" x14ac:dyDescent="0.35">
      <c r="A13" s="3" t="s">
        <v>234</v>
      </c>
      <c r="B13">
        <f>1+1+1</f>
        <v>3</v>
      </c>
      <c r="C13">
        <f>1</f>
        <v>1</v>
      </c>
      <c r="D13">
        <f>0</f>
        <v>0</v>
      </c>
      <c r="E13" s="2">
        <f t="shared" ref="E13:E14" si="23">(B13)/(B13+C13+D13)</f>
        <v>0.75</v>
      </c>
      <c r="F13">
        <f>19+13+7+10</f>
        <v>49</v>
      </c>
      <c r="G13">
        <f>9+10+6+11</f>
        <v>36</v>
      </c>
      <c r="H13">
        <f t="shared" ref="H13:H14" si="24">F13-G13</f>
        <v>13</v>
      </c>
      <c r="J13">
        <f>40</f>
        <v>40</v>
      </c>
      <c r="L13">
        <f t="shared" ref="L13:L14" si="25">B13*10</f>
        <v>30</v>
      </c>
      <c r="M13">
        <f t="shared" si="8"/>
        <v>0</v>
      </c>
      <c r="N13">
        <f>10</f>
        <v>10</v>
      </c>
      <c r="O13">
        <f t="shared" ref="O13" si="26">SUM(I13:N13)</f>
        <v>80</v>
      </c>
    </row>
    <row r="14" spans="1:27" x14ac:dyDescent="0.35">
      <c r="A14" s="3" t="s">
        <v>244</v>
      </c>
      <c r="B14">
        <f>1+1+1+1</f>
        <v>4</v>
      </c>
      <c r="C14">
        <f>1+1+1</f>
        <v>3</v>
      </c>
      <c r="D14">
        <f>0</f>
        <v>0</v>
      </c>
      <c r="E14" s="2">
        <f t="shared" si="23"/>
        <v>0.5714285714285714</v>
      </c>
      <c r="F14">
        <f>25+2+5+12+11+7+1</f>
        <v>63</v>
      </c>
      <c r="G14">
        <f>3+4+11+1+3+4+2</f>
        <v>28</v>
      </c>
      <c r="H14">
        <f t="shared" si="24"/>
        <v>35</v>
      </c>
      <c r="J14">
        <f>40</f>
        <v>40</v>
      </c>
      <c r="K14">
        <f>20</f>
        <v>20</v>
      </c>
      <c r="L14">
        <f t="shared" si="25"/>
        <v>40</v>
      </c>
      <c r="M14">
        <f t="shared" si="8"/>
        <v>0</v>
      </c>
      <c r="N14">
        <f>10+10</f>
        <v>20</v>
      </c>
      <c r="O14">
        <f t="shared" ref="O14" si="27">SUM(I14:N14)</f>
        <v>120</v>
      </c>
    </row>
    <row r="15" spans="1:27" x14ac:dyDescent="0.35">
      <c r="A15" s="3" t="s">
        <v>216</v>
      </c>
      <c r="B15">
        <f>1+1</f>
        <v>2</v>
      </c>
      <c r="C15">
        <f>1</f>
        <v>1</v>
      </c>
      <c r="D15">
        <f>0</f>
        <v>0</v>
      </c>
      <c r="E15" s="2">
        <f t="shared" si="5"/>
        <v>0.66666666666666663</v>
      </c>
      <c r="F15">
        <f>12+0+8</f>
        <v>20</v>
      </c>
      <c r="G15">
        <f>0+7+2</f>
        <v>9</v>
      </c>
      <c r="H15">
        <f t="shared" si="6"/>
        <v>11</v>
      </c>
      <c r="I15">
        <f>60</f>
        <v>60</v>
      </c>
      <c r="L15">
        <f t="shared" si="7"/>
        <v>20</v>
      </c>
      <c r="M15">
        <f t="shared" ref="M15" si="28">D15*5</f>
        <v>0</v>
      </c>
      <c r="N15">
        <f>10</f>
        <v>10</v>
      </c>
      <c r="O15">
        <f t="shared" si="9"/>
        <v>90</v>
      </c>
    </row>
    <row r="16" spans="1:27" x14ac:dyDescent="0.35">
      <c r="A16" s="3" t="s">
        <v>91</v>
      </c>
      <c r="B16">
        <f>4</f>
        <v>4</v>
      </c>
      <c r="C16">
        <f>0</f>
        <v>0</v>
      </c>
      <c r="D16">
        <f>0</f>
        <v>0</v>
      </c>
      <c r="E16" s="2">
        <f t="shared" si="5"/>
        <v>1</v>
      </c>
      <c r="F16">
        <f>7+14+11+15</f>
        <v>47</v>
      </c>
      <c r="G16">
        <f>1+14+3+0</f>
        <v>18</v>
      </c>
      <c r="H16">
        <f t="shared" si="6"/>
        <v>29</v>
      </c>
      <c r="I16">
        <f>60</f>
        <v>60</v>
      </c>
      <c r="L16">
        <f t="shared" si="7"/>
        <v>40</v>
      </c>
      <c r="M16">
        <f t="shared" si="8"/>
        <v>0</v>
      </c>
      <c r="N16">
        <f>10</f>
        <v>10</v>
      </c>
      <c r="O16">
        <f t="shared" si="9"/>
        <v>110</v>
      </c>
    </row>
    <row r="17" spans="1:15" x14ac:dyDescent="0.35">
      <c r="A17" s="3" t="s">
        <v>217</v>
      </c>
      <c r="B17">
        <f>1</f>
        <v>1</v>
      </c>
      <c r="C17">
        <f>1+1</f>
        <v>2</v>
      </c>
      <c r="D17">
        <f>0</f>
        <v>0</v>
      </c>
      <c r="E17" s="2">
        <f t="shared" ref="E17" si="29">(B17)/(B17+C17+D17)</f>
        <v>0.33333333333333331</v>
      </c>
      <c r="F17">
        <f>0+7+3</f>
        <v>10</v>
      </c>
      <c r="G17">
        <f>12+0+23</f>
        <v>35</v>
      </c>
      <c r="H17">
        <f t="shared" ref="H17" si="30">F17-G17</f>
        <v>-25</v>
      </c>
      <c r="K17">
        <f>20</f>
        <v>20</v>
      </c>
      <c r="L17">
        <f t="shared" ref="L17" si="31">B17*10</f>
        <v>10</v>
      </c>
      <c r="M17">
        <f t="shared" si="8"/>
        <v>0</v>
      </c>
      <c r="N17">
        <f>10</f>
        <v>10</v>
      </c>
      <c r="O17">
        <f t="shared" ref="O17" si="32">SUM(I17:N17)</f>
        <v>40</v>
      </c>
    </row>
    <row r="18" spans="1:15" x14ac:dyDescent="0.35">
      <c r="A18" s="3" t="s">
        <v>215</v>
      </c>
      <c r="B18">
        <f>1+1+1+1+1</f>
        <v>5</v>
      </c>
      <c r="C18">
        <f>1+1+1+1</f>
        <v>4</v>
      </c>
      <c r="D18">
        <f>0</f>
        <v>0</v>
      </c>
      <c r="E18" s="2">
        <f t="shared" ref="E18:E19" si="33">(B18)/(B18+C18+D18)</f>
        <v>0.55555555555555558</v>
      </c>
      <c r="F18">
        <f>12+14+10+9+4+4+5+7+3</f>
        <v>68</v>
      </c>
      <c r="G18">
        <f>2+3+2+3+5+11+12+4+11</f>
        <v>53</v>
      </c>
      <c r="H18">
        <f t="shared" ref="H18:H19" si="34">F18-G18</f>
        <v>15</v>
      </c>
      <c r="I18">
        <f>60</f>
        <v>60</v>
      </c>
      <c r="K18">
        <f>20</f>
        <v>20</v>
      </c>
      <c r="L18">
        <f t="shared" ref="L18:L19" si="35">B18*10</f>
        <v>50</v>
      </c>
      <c r="M18">
        <f t="shared" si="8"/>
        <v>0</v>
      </c>
      <c r="N18">
        <f>10+10+10</f>
        <v>30</v>
      </c>
      <c r="O18">
        <f t="shared" ref="O18" si="36">SUM(I18:N18)</f>
        <v>160</v>
      </c>
    </row>
    <row r="19" spans="1:15" x14ac:dyDescent="0.35">
      <c r="A19" s="3" t="s">
        <v>214</v>
      </c>
      <c r="B19">
        <f>1</f>
        <v>1</v>
      </c>
      <c r="C19">
        <f>1+1</f>
        <v>2</v>
      </c>
      <c r="D19">
        <f>0</f>
        <v>0</v>
      </c>
      <c r="E19" s="2">
        <f t="shared" si="33"/>
        <v>0.33333333333333331</v>
      </c>
      <c r="F19">
        <f>3+7+1</f>
        <v>11</v>
      </c>
      <c r="G19">
        <f>11+5+10</f>
        <v>26</v>
      </c>
      <c r="H19">
        <f t="shared" si="34"/>
        <v>-15</v>
      </c>
      <c r="L19">
        <f t="shared" si="35"/>
        <v>10</v>
      </c>
      <c r="M19">
        <f t="shared" si="8"/>
        <v>0</v>
      </c>
      <c r="N19">
        <f>10</f>
        <v>10</v>
      </c>
      <c r="O19">
        <f t="shared" ref="O19" si="37">SUM(I19:N19)</f>
        <v>20</v>
      </c>
    </row>
    <row r="20" spans="1:15" x14ac:dyDescent="0.35">
      <c r="A20" s="3" t="s">
        <v>79</v>
      </c>
      <c r="B20">
        <f>8</f>
        <v>8</v>
      </c>
      <c r="C20">
        <f>1</f>
        <v>1</v>
      </c>
      <c r="D20">
        <f>0</f>
        <v>0</v>
      </c>
      <c r="E20" s="2">
        <f t="shared" si="5"/>
        <v>0.88888888888888884</v>
      </c>
      <c r="F20">
        <f>9+17+11+11+20+13+20+11+9</f>
        <v>121</v>
      </c>
      <c r="G20">
        <f>10+8+8+7+12+3+3+4+6</f>
        <v>61</v>
      </c>
      <c r="H20">
        <f t="shared" si="6"/>
        <v>60</v>
      </c>
      <c r="I20">
        <f>120</f>
        <v>120</v>
      </c>
      <c r="L20">
        <f t="shared" si="7"/>
        <v>80</v>
      </c>
      <c r="M20">
        <f t="shared" si="8"/>
        <v>0</v>
      </c>
      <c r="N20">
        <f>20</f>
        <v>20</v>
      </c>
      <c r="O20">
        <f t="shared" si="9"/>
        <v>220</v>
      </c>
    </row>
    <row r="21" spans="1:15" x14ac:dyDescent="0.35">
      <c r="A21" s="3" t="s">
        <v>127</v>
      </c>
      <c r="B21">
        <f>4</f>
        <v>4</v>
      </c>
      <c r="C21">
        <f>0</f>
        <v>0</v>
      </c>
      <c r="D21">
        <f>0</f>
        <v>0</v>
      </c>
      <c r="E21" s="2">
        <f t="shared" si="5"/>
        <v>1</v>
      </c>
      <c r="F21">
        <f>15+15+25+16</f>
        <v>71</v>
      </c>
      <c r="G21">
        <f>0+2+2+1</f>
        <v>5</v>
      </c>
      <c r="H21">
        <f t="shared" si="6"/>
        <v>66</v>
      </c>
      <c r="I21">
        <f>60</f>
        <v>60</v>
      </c>
      <c r="L21">
        <f t="shared" si="7"/>
        <v>40</v>
      </c>
      <c r="M21">
        <f t="shared" si="8"/>
        <v>0</v>
      </c>
      <c r="N21">
        <f>10</f>
        <v>10</v>
      </c>
      <c r="O21">
        <f t="shared" si="9"/>
        <v>110</v>
      </c>
    </row>
    <row r="22" spans="1:15" x14ac:dyDescent="0.35">
      <c r="A22" s="3" t="s">
        <v>233</v>
      </c>
      <c r="B22">
        <f>1+1+1+1</f>
        <v>4</v>
      </c>
      <c r="C22">
        <f>1</f>
        <v>1</v>
      </c>
      <c r="D22">
        <f>0</f>
        <v>0</v>
      </c>
      <c r="E22" s="2">
        <f t="shared" ref="E22:E23" si="38">(B22)/(B22+C22+D22)</f>
        <v>0.8</v>
      </c>
      <c r="F22">
        <f>6+11+9+7+11</f>
        <v>44</v>
      </c>
      <c r="G22">
        <f>10+5+1+5+10</f>
        <v>31</v>
      </c>
      <c r="H22">
        <f t="shared" ref="H22:H23" si="39">F22-G22</f>
        <v>13</v>
      </c>
      <c r="I22">
        <f>60</f>
        <v>60</v>
      </c>
      <c r="L22">
        <f t="shared" ref="L22:L23" si="40">B22*10</f>
        <v>40</v>
      </c>
      <c r="M22">
        <f t="shared" si="8"/>
        <v>0</v>
      </c>
      <c r="N22">
        <f>10</f>
        <v>10</v>
      </c>
      <c r="O22">
        <f t="shared" ref="O22" si="41">SUM(I22:N22)</f>
        <v>110</v>
      </c>
    </row>
    <row r="23" spans="1:15" x14ac:dyDescent="0.35">
      <c r="A23" s="3" t="s">
        <v>259</v>
      </c>
      <c r="B23">
        <f>0</f>
        <v>0</v>
      </c>
      <c r="C23">
        <f>1+1+1+1</f>
        <v>4</v>
      </c>
      <c r="D23">
        <f>0</f>
        <v>0</v>
      </c>
      <c r="E23" s="2">
        <f t="shared" si="38"/>
        <v>0</v>
      </c>
      <c r="F23">
        <f>5+2+6+4</f>
        <v>17</v>
      </c>
      <c r="G23">
        <f>16+11+7+17</f>
        <v>51</v>
      </c>
      <c r="H23">
        <f t="shared" si="39"/>
        <v>-34</v>
      </c>
      <c r="L23">
        <f t="shared" si="40"/>
        <v>0</v>
      </c>
      <c r="M23">
        <f t="shared" si="8"/>
        <v>0</v>
      </c>
      <c r="N23">
        <f>10</f>
        <v>10</v>
      </c>
      <c r="O23">
        <f t="shared" ref="O23" si="42">SUM(I23:N23)</f>
        <v>10</v>
      </c>
    </row>
    <row r="24" spans="1:15" x14ac:dyDescent="0.35">
      <c r="A24" s="3" t="s">
        <v>116</v>
      </c>
      <c r="B24">
        <f>8+1+1+1</f>
        <v>11</v>
      </c>
      <c r="C24">
        <f>4+1+1+1+1+1</f>
        <v>9</v>
      </c>
      <c r="D24">
        <f>1</f>
        <v>1</v>
      </c>
      <c r="E24" s="2">
        <f t="shared" si="5"/>
        <v>0.52380952380952384</v>
      </c>
      <c r="F24">
        <f>21+4+16+5+0+10+8+11+7+7+14+10+12+1+11+4+2+2+13+24+4</f>
        <v>186</v>
      </c>
      <c r="G24">
        <f>1+11+1+4+15+14+8+7+8+6+5+5+16+6+11+14+10+0+12+19</f>
        <v>173</v>
      </c>
      <c r="H24">
        <f t="shared" si="6"/>
        <v>13</v>
      </c>
      <c r="I24">
        <f>120</f>
        <v>120</v>
      </c>
      <c r="J24">
        <f>40</f>
        <v>40</v>
      </c>
      <c r="L24">
        <f t="shared" si="7"/>
        <v>110</v>
      </c>
      <c r="M24">
        <f t="shared" si="8"/>
        <v>5</v>
      </c>
      <c r="N24">
        <f>30+10+10</f>
        <v>50</v>
      </c>
      <c r="O24">
        <f t="shared" si="9"/>
        <v>325</v>
      </c>
    </row>
    <row r="25" spans="1:15" x14ac:dyDescent="0.35">
      <c r="A25" s="3" t="s">
        <v>54</v>
      </c>
      <c r="B25">
        <f>9+1+1+1+1+1+1+1</f>
        <v>16</v>
      </c>
      <c r="C25">
        <f>22+1+1+1+1+1+1+1+1+1+1+1</f>
        <v>33</v>
      </c>
      <c r="D25">
        <f>0</f>
        <v>0</v>
      </c>
      <c r="E25" s="2">
        <f t="shared" si="5"/>
        <v>0.32653061224489793</v>
      </c>
      <c r="F25">
        <f>17+3+6+13+10+3+6+12+8+7+8+17+1+4+10+3+3+3+17+13+3+12+2+1+18+11+5+5+2+5+19+2+26+2+21+14+2+1+3+4+2+9+21+1+8+4+10+12</f>
        <v>389</v>
      </c>
      <c r="G25">
        <f>10+26+1+17+5+4+8+8+17+8+13+4+9+19+4+22+16+13+5+22+5+7+17+16+18+6+10+11+14+8+1+8+3+9+0+9+7+11+4+6+5+10+0+6+9+12+9+1</f>
        <v>453</v>
      </c>
      <c r="H25">
        <f t="shared" si="6"/>
        <v>-64</v>
      </c>
      <c r="I25">
        <f>60</f>
        <v>60</v>
      </c>
      <c r="J25">
        <f>40</f>
        <v>40</v>
      </c>
      <c r="K25">
        <f>20+20+20</f>
        <v>60</v>
      </c>
      <c r="L25">
        <f t="shared" si="7"/>
        <v>160</v>
      </c>
      <c r="M25">
        <v>0</v>
      </c>
      <c r="N25">
        <f>70+10+10+10+10+10</f>
        <v>120</v>
      </c>
      <c r="O25">
        <f t="shared" si="9"/>
        <v>440</v>
      </c>
    </row>
    <row r="26" spans="1:15" x14ac:dyDescent="0.35">
      <c r="A26" s="3" t="s">
        <v>52</v>
      </c>
      <c r="B26">
        <f>2</f>
        <v>2</v>
      </c>
      <c r="C26">
        <f>6</f>
        <v>6</v>
      </c>
      <c r="D26">
        <f>0</f>
        <v>0</v>
      </c>
      <c r="E26" s="2">
        <f t="shared" si="5"/>
        <v>0.25</v>
      </c>
      <c r="F26">
        <f>13+10+6+10+1+4+4+4</f>
        <v>52</v>
      </c>
      <c r="G26">
        <f>8+17+8+9+13+12+11+16</f>
        <v>94</v>
      </c>
      <c r="H26">
        <f t="shared" si="6"/>
        <v>-42</v>
      </c>
      <c r="J26">
        <f>40</f>
        <v>40</v>
      </c>
      <c r="L26">
        <f t="shared" si="7"/>
        <v>20</v>
      </c>
      <c r="M26">
        <f t="shared" ref="M26:M66" si="43">D26*5</f>
        <v>0</v>
      </c>
      <c r="N26">
        <f>20</f>
        <v>20</v>
      </c>
      <c r="O26">
        <f t="shared" si="9"/>
        <v>80</v>
      </c>
    </row>
    <row r="27" spans="1:15" x14ac:dyDescent="0.35">
      <c r="A27" s="3" t="s">
        <v>40</v>
      </c>
      <c r="B27">
        <f>4+2</f>
        <v>6</v>
      </c>
      <c r="C27">
        <f>1+3</f>
        <v>4</v>
      </c>
      <c r="D27">
        <f>0</f>
        <v>0</v>
      </c>
      <c r="E27" s="2">
        <f t="shared" si="5"/>
        <v>0.6</v>
      </c>
      <c r="F27">
        <f>9+10+9+15+6+10+7+15+5</f>
        <v>86</v>
      </c>
      <c r="G27">
        <f>10+8+7+4+7+11+2+4+6</f>
        <v>59</v>
      </c>
      <c r="H27">
        <f t="shared" si="6"/>
        <v>27</v>
      </c>
      <c r="I27">
        <f>60</f>
        <v>60</v>
      </c>
      <c r="J27">
        <v>40</v>
      </c>
      <c r="L27">
        <f t="shared" si="7"/>
        <v>60</v>
      </c>
      <c r="M27">
        <f t="shared" si="43"/>
        <v>0</v>
      </c>
      <c r="N27">
        <f>10+10</f>
        <v>20</v>
      </c>
      <c r="O27">
        <f t="shared" si="9"/>
        <v>180</v>
      </c>
    </row>
    <row r="28" spans="1:15" x14ac:dyDescent="0.35">
      <c r="A28" s="3" t="s">
        <v>49</v>
      </c>
      <c r="B28">
        <f>10</f>
        <v>10</v>
      </c>
      <c r="C28">
        <f>4</f>
        <v>4</v>
      </c>
      <c r="D28">
        <f>0</f>
        <v>0</v>
      </c>
      <c r="E28" s="2">
        <f t="shared" si="5"/>
        <v>0.7142857142857143</v>
      </c>
      <c r="F28">
        <f>9+10+23+13+10+12+8+29+10+5+4+12+14+3</f>
        <v>162</v>
      </c>
      <c r="G28">
        <f>8+12+1+9+8+7+2+3+9+10+7+9+4+11</f>
        <v>100</v>
      </c>
      <c r="H28">
        <f t="shared" si="6"/>
        <v>62</v>
      </c>
      <c r="I28">
        <f>60</f>
        <v>60</v>
      </c>
      <c r="J28">
        <f>40</f>
        <v>40</v>
      </c>
      <c r="L28">
        <f t="shared" si="7"/>
        <v>100</v>
      </c>
      <c r="M28">
        <f t="shared" si="43"/>
        <v>0</v>
      </c>
      <c r="N28">
        <f>30</f>
        <v>30</v>
      </c>
      <c r="O28">
        <f t="shared" si="9"/>
        <v>230</v>
      </c>
    </row>
    <row r="29" spans="1:15" x14ac:dyDescent="0.35">
      <c r="A29" s="3" t="s">
        <v>115</v>
      </c>
      <c r="B29">
        <f>2</f>
        <v>2</v>
      </c>
      <c r="C29">
        <f>5</f>
        <v>5</v>
      </c>
      <c r="D29">
        <f>0</f>
        <v>0</v>
      </c>
      <c r="E29" s="2">
        <f t="shared" si="5"/>
        <v>0.2857142857142857</v>
      </c>
      <c r="F29">
        <f>6+2+2+4+8+0+14</f>
        <v>36</v>
      </c>
      <c r="G29">
        <f>21+17+4+9+6+15</f>
        <v>72</v>
      </c>
      <c r="H29">
        <f t="shared" si="6"/>
        <v>-36</v>
      </c>
      <c r="J29">
        <f>40</f>
        <v>40</v>
      </c>
      <c r="L29">
        <f t="shared" si="7"/>
        <v>20</v>
      </c>
      <c r="M29">
        <f t="shared" si="43"/>
        <v>0</v>
      </c>
      <c r="N29">
        <f>20</f>
        <v>20</v>
      </c>
      <c r="O29">
        <f t="shared" si="9"/>
        <v>80</v>
      </c>
    </row>
    <row r="30" spans="1:15" x14ac:dyDescent="0.35">
      <c r="A30" s="3" t="s">
        <v>75</v>
      </c>
      <c r="B30">
        <f>3</f>
        <v>3</v>
      </c>
      <c r="C30">
        <f>5</f>
        <v>5</v>
      </c>
      <c r="D30">
        <f>0</f>
        <v>0</v>
      </c>
      <c r="E30" s="2">
        <f t="shared" si="5"/>
        <v>0.375</v>
      </c>
      <c r="F30">
        <f>6+1+8+7+14+5+17+4</f>
        <v>62</v>
      </c>
      <c r="G30">
        <f>11+13+4+11+3+12+7+7</f>
        <v>68</v>
      </c>
      <c r="H30">
        <f t="shared" si="6"/>
        <v>-6</v>
      </c>
      <c r="K30">
        <f>20</f>
        <v>20</v>
      </c>
      <c r="L30">
        <f t="shared" si="7"/>
        <v>30</v>
      </c>
      <c r="M30">
        <f t="shared" si="43"/>
        <v>0</v>
      </c>
      <c r="N30">
        <f>20</f>
        <v>20</v>
      </c>
      <c r="O30">
        <f t="shared" si="9"/>
        <v>70</v>
      </c>
    </row>
    <row r="31" spans="1:15" x14ac:dyDescent="0.35">
      <c r="A31" s="3" t="s">
        <v>165</v>
      </c>
      <c r="B31">
        <f>0</f>
        <v>0</v>
      </c>
      <c r="C31">
        <f>3+1+1+1</f>
        <v>6</v>
      </c>
      <c r="D31">
        <f>0</f>
        <v>0</v>
      </c>
      <c r="E31" s="2">
        <f t="shared" si="5"/>
        <v>0</v>
      </c>
      <c r="F31">
        <f>0+9+3+1+0</f>
        <v>13</v>
      </c>
      <c r="G31">
        <f>31+15+7+18+15</f>
        <v>86</v>
      </c>
      <c r="H31">
        <f t="shared" si="6"/>
        <v>-73</v>
      </c>
      <c r="L31">
        <f t="shared" si="7"/>
        <v>0</v>
      </c>
      <c r="M31">
        <f t="shared" si="43"/>
        <v>0</v>
      </c>
      <c r="N31">
        <f>10</f>
        <v>10</v>
      </c>
      <c r="O31">
        <f t="shared" si="9"/>
        <v>10</v>
      </c>
    </row>
    <row r="32" spans="1:15" x14ac:dyDescent="0.35">
      <c r="A32" s="3" t="s">
        <v>166</v>
      </c>
      <c r="B32">
        <f>4</f>
        <v>4</v>
      </c>
      <c r="C32">
        <f>0</f>
        <v>0</v>
      </c>
      <c r="D32">
        <f>0</f>
        <v>0</v>
      </c>
      <c r="E32" s="2">
        <f t="shared" si="5"/>
        <v>1</v>
      </c>
      <c r="F32">
        <f>13+11+16+7</f>
        <v>47</v>
      </c>
      <c r="G32">
        <f>3+10+4+6</f>
        <v>23</v>
      </c>
      <c r="H32">
        <f t="shared" si="6"/>
        <v>24</v>
      </c>
      <c r="I32">
        <f>60</f>
        <v>60</v>
      </c>
      <c r="K32">
        <f>20</f>
        <v>20</v>
      </c>
      <c r="L32">
        <f t="shared" si="7"/>
        <v>40</v>
      </c>
      <c r="M32">
        <f t="shared" si="43"/>
        <v>0</v>
      </c>
      <c r="N32">
        <f>10+10</f>
        <v>20</v>
      </c>
      <c r="O32">
        <f t="shared" si="9"/>
        <v>140</v>
      </c>
    </row>
    <row r="33" spans="1:16" x14ac:dyDescent="0.35">
      <c r="A33" s="3" t="s">
        <v>139</v>
      </c>
      <c r="B33">
        <f>3+0+1+1+1+1+1+1</f>
        <v>9</v>
      </c>
      <c r="C33">
        <f>4+3+1+1+1+1</f>
        <v>11</v>
      </c>
      <c r="D33">
        <f>0</f>
        <v>0</v>
      </c>
      <c r="E33" s="2">
        <f t="shared" si="5"/>
        <v>0.45</v>
      </c>
      <c r="F33">
        <f>24+10+11+6+5+8+4+3+8+1+6+3+5+12+10+4+4+22+12</f>
        <v>158</v>
      </c>
      <c r="G33">
        <f>12+4+16+5+8+8+6+13+12+7+4+14+2+8+6+7+2+4+24</f>
        <v>162</v>
      </c>
      <c r="H33">
        <f t="shared" si="6"/>
        <v>-4</v>
      </c>
      <c r="J33">
        <f>40+40</f>
        <v>80</v>
      </c>
      <c r="K33">
        <f>20+20</f>
        <v>40</v>
      </c>
      <c r="L33">
        <f t="shared" si="7"/>
        <v>90</v>
      </c>
      <c r="M33">
        <f t="shared" si="43"/>
        <v>0</v>
      </c>
      <c r="N33">
        <f>10+20+10+10+10</f>
        <v>60</v>
      </c>
      <c r="O33">
        <f t="shared" si="9"/>
        <v>270</v>
      </c>
    </row>
    <row r="34" spans="1:16" x14ac:dyDescent="0.35">
      <c r="A34" s="3" t="s">
        <v>108</v>
      </c>
      <c r="B34">
        <f>1+1+1+1</f>
        <v>4</v>
      </c>
      <c r="C34">
        <f>1+1+1+1+1+1+1+1+1+1</f>
        <v>10</v>
      </c>
      <c r="D34">
        <f>0</f>
        <v>0</v>
      </c>
      <c r="E34" s="2">
        <f t="shared" si="5"/>
        <v>0.2857142857142857</v>
      </c>
      <c r="F34">
        <f>2+14+14+3+3+4+11+6+6+10+5+2+8+4</f>
        <v>92</v>
      </c>
      <c r="G34">
        <f>12+2+5+7+9+6+4+14+4+13+15+21+10+5</f>
        <v>127</v>
      </c>
      <c r="H34">
        <f t="shared" si="6"/>
        <v>-35</v>
      </c>
      <c r="J34">
        <f>40</f>
        <v>40</v>
      </c>
      <c r="L34">
        <f t="shared" si="7"/>
        <v>40</v>
      </c>
      <c r="M34">
        <f t="shared" si="43"/>
        <v>0</v>
      </c>
      <c r="N34">
        <f>10+10+10+10</f>
        <v>40</v>
      </c>
      <c r="O34">
        <f t="shared" si="9"/>
        <v>120</v>
      </c>
    </row>
    <row r="35" spans="1:16" x14ac:dyDescent="0.35">
      <c r="A35" s="3" t="s">
        <v>197</v>
      </c>
      <c r="B35">
        <f>0</f>
        <v>0</v>
      </c>
      <c r="C35">
        <f>1+1+1+1+1+1+1+1+1+1+1+1+1+1+1+1+1+1</f>
        <v>18</v>
      </c>
      <c r="D35">
        <f>0</f>
        <v>0</v>
      </c>
      <c r="E35" s="2">
        <f t="shared" ref="E35" si="44">(B35)/(B35+C35+D35)</f>
        <v>0</v>
      </c>
      <c r="F35">
        <f>1+0+3+0+2+1+0+6+3+3+0+1+0+4+0+5+6+2</f>
        <v>37</v>
      </c>
      <c r="G35">
        <f>19+15+26+16+14+11+21+15+23+25+10+13+13+13+21+12+14+17</f>
        <v>298</v>
      </c>
      <c r="H35">
        <f t="shared" ref="H35" si="45">F35-G35</f>
        <v>-261</v>
      </c>
      <c r="K35">
        <f>20</f>
        <v>20</v>
      </c>
      <c r="L35">
        <f t="shared" ref="L35" si="46">B35*10</f>
        <v>0</v>
      </c>
      <c r="M35">
        <f t="shared" si="43"/>
        <v>0</v>
      </c>
      <c r="N35">
        <f>10+10+10+10+10+10</f>
        <v>60</v>
      </c>
      <c r="O35">
        <f t="shared" ref="O35" si="47">SUM(I35:N35)</f>
        <v>80</v>
      </c>
    </row>
    <row r="36" spans="1:16" x14ac:dyDescent="0.35">
      <c r="A36" s="3" t="s">
        <v>148</v>
      </c>
      <c r="B36">
        <f>2</f>
        <v>2</v>
      </c>
      <c r="C36">
        <f>2</f>
        <v>2</v>
      </c>
      <c r="D36">
        <f>0</f>
        <v>0</v>
      </c>
      <c r="E36" s="2">
        <f t="shared" si="5"/>
        <v>0.5</v>
      </c>
      <c r="F36">
        <f>4+9+16+7</f>
        <v>36</v>
      </c>
      <c r="G36">
        <f>6+4+4+8</f>
        <v>22</v>
      </c>
      <c r="H36">
        <f t="shared" si="6"/>
        <v>14</v>
      </c>
      <c r="L36">
        <f t="shared" si="7"/>
        <v>20</v>
      </c>
      <c r="M36">
        <f t="shared" si="43"/>
        <v>0</v>
      </c>
      <c r="N36">
        <f>10</f>
        <v>10</v>
      </c>
      <c r="O36">
        <f t="shared" si="9"/>
        <v>30</v>
      </c>
    </row>
    <row r="37" spans="1:16" x14ac:dyDescent="0.35">
      <c r="A37" s="3" t="s">
        <v>126</v>
      </c>
      <c r="B37">
        <f>0</f>
        <v>0</v>
      </c>
      <c r="C37">
        <f>4</f>
        <v>4</v>
      </c>
      <c r="D37">
        <f>0</f>
        <v>0</v>
      </c>
      <c r="E37" s="2">
        <f t="shared" si="5"/>
        <v>0</v>
      </c>
      <c r="F37">
        <f>7+1+2+5</f>
        <v>15</v>
      </c>
      <c r="G37">
        <f>12+14+12+12</f>
        <v>50</v>
      </c>
      <c r="H37">
        <f t="shared" si="6"/>
        <v>-35</v>
      </c>
      <c r="L37">
        <f t="shared" si="7"/>
        <v>0</v>
      </c>
      <c r="M37">
        <f t="shared" si="43"/>
        <v>0</v>
      </c>
      <c r="N37">
        <f>10</f>
        <v>10</v>
      </c>
      <c r="O37">
        <f t="shared" si="9"/>
        <v>10</v>
      </c>
    </row>
    <row r="38" spans="1:16" x14ac:dyDescent="0.35">
      <c r="A38" s="3" t="s">
        <v>130</v>
      </c>
      <c r="B38">
        <f>2</f>
        <v>2</v>
      </c>
      <c r="C38">
        <f>1</f>
        <v>1</v>
      </c>
      <c r="D38">
        <f>1</f>
        <v>1</v>
      </c>
      <c r="E38" s="2">
        <f t="shared" si="5"/>
        <v>0.5</v>
      </c>
      <c r="F38">
        <f>5+6+4</f>
        <v>15</v>
      </c>
      <c r="G38">
        <f>5+3+15</f>
        <v>23</v>
      </c>
      <c r="H38">
        <f t="shared" si="6"/>
        <v>-8</v>
      </c>
      <c r="J38">
        <f>40</f>
        <v>40</v>
      </c>
      <c r="L38">
        <f t="shared" si="7"/>
        <v>20</v>
      </c>
      <c r="M38">
        <f t="shared" si="43"/>
        <v>5</v>
      </c>
      <c r="N38">
        <f>10</f>
        <v>10</v>
      </c>
      <c r="O38">
        <f t="shared" si="9"/>
        <v>75</v>
      </c>
    </row>
    <row r="39" spans="1:16" x14ac:dyDescent="0.35">
      <c r="A39" s="3" t="s">
        <v>47</v>
      </c>
      <c r="B39">
        <f>10+1+1+1+1+1+1</f>
        <v>16</v>
      </c>
      <c r="C39">
        <f>7+1</f>
        <v>8</v>
      </c>
      <c r="D39">
        <f>0</f>
        <v>0</v>
      </c>
      <c r="E39" s="2">
        <f t="shared" si="5"/>
        <v>0.66666666666666663</v>
      </c>
      <c r="F39">
        <f>8+16+1+9+8+13+5+10+12+13+13+8+14+16+12+4+3+12+14+15+7+6+12+11</f>
        <v>242</v>
      </c>
      <c r="G39">
        <f>13+4+23+10+3+1+3+5+20+0+3+8+1+6+4+9+15+2+4+3+6+7+5+3</f>
        <v>158</v>
      </c>
      <c r="H39">
        <f t="shared" si="6"/>
        <v>84</v>
      </c>
      <c r="I39">
        <f>60+60</f>
        <v>120</v>
      </c>
      <c r="J39">
        <f>40</f>
        <v>40</v>
      </c>
      <c r="K39">
        <f>40</f>
        <v>40</v>
      </c>
      <c r="L39">
        <f t="shared" si="7"/>
        <v>160</v>
      </c>
      <c r="M39">
        <f t="shared" si="43"/>
        <v>0</v>
      </c>
      <c r="N39">
        <f>40+10+10</f>
        <v>60</v>
      </c>
      <c r="O39">
        <f t="shared" si="9"/>
        <v>420</v>
      </c>
    </row>
    <row r="40" spans="1:16" x14ac:dyDescent="0.35">
      <c r="A40" s="3" t="s">
        <v>164</v>
      </c>
      <c r="B40">
        <f>1</f>
        <v>1</v>
      </c>
      <c r="C40">
        <f>3</f>
        <v>3</v>
      </c>
      <c r="D40">
        <f>0</f>
        <v>0</v>
      </c>
      <c r="E40" s="2">
        <f t="shared" si="5"/>
        <v>0.25</v>
      </c>
      <c r="F40">
        <f>10+1+4+2</f>
        <v>17</v>
      </c>
      <c r="G40">
        <f>4+15+16+2</f>
        <v>37</v>
      </c>
      <c r="H40">
        <f t="shared" si="6"/>
        <v>-20</v>
      </c>
      <c r="K40">
        <f>20</f>
        <v>20</v>
      </c>
      <c r="L40">
        <f t="shared" si="7"/>
        <v>10</v>
      </c>
      <c r="M40">
        <f t="shared" si="43"/>
        <v>0</v>
      </c>
      <c r="N40">
        <f>10</f>
        <v>10</v>
      </c>
      <c r="O40">
        <f t="shared" si="9"/>
        <v>40</v>
      </c>
    </row>
    <row r="41" spans="1:16" x14ac:dyDescent="0.35">
      <c r="A41" s="3" t="s">
        <v>51</v>
      </c>
      <c r="B41">
        <f>10+1+1+1+1+1</f>
        <v>15</v>
      </c>
      <c r="C41">
        <f>15+1+1+1</f>
        <v>18</v>
      </c>
      <c r="D41">
        <f>0</f>
        <v>0</v>
      </c>
      <c r="E41" s="2">
        <f t="shared" si="5"/>
        <v>0.45454545454545453</v>
      </c>
      <c r="F41">
        <f>8+5+10+17+0+5+2+8+4+7+18+7+6+10+2+4+15+1+5+0+2+4+7+26+15+6+11+6+9+13+10+4</f>
        <v>247</v>
      </c>
      <c r="G41">
        <f>13+16+11+13+10+11+8+6+11+5+9+17+12+9+15+6+5+16+3+12+2+11+12+17+0+11+4+9+8+4+1+7</f>
        <v>294</v>
      </c>
      <c r="H41">
        <f t="shared" si="6"/>
        <v>-47</v>
      </c>
      <c r="J41">
        <f>80</f>
        <v>80</v>
      </c>
      <c r="K41">
        <f>60</f>
        <v>60</v>
      </c>
      <c r="L41">
        <f t="shared" si="7"/>
        <v>150</v>
      </c>
      <c r="M41">
        <f t="shared" si="43"/>
        <v>0</v>
      </c>
      <c r="N41">
        <f>60+10+10</f>
        <v>80</v>
      </c>
      <c r="O41">
        <f t="shared" si="9"/>
        <v>370</v>
      </c>
    </row>
    <row r="42" spans="1:16" x14ac:dyDescent="0.35">
      <c r="A42" s="3" t="s">
        <v>188</v>
      </c>
      <c r="B42">
        <f>1+1+1+1+1+1+1+1+1+1+1+1+1+1+1+1+1+1</f>
        <v>18</v>
      </c>
      <c r="C42">
        <f>1+1+1+1+1+1+1+1+1+1+1+1+1+1</f>
        <v>14</v>
      </c>
      <c r="D42">
        <f>0</f>
        <v>0</v>
      </c>
      <c r="E42" s="2">
        <f t="shared" ref="E42" si="48">(B42)/(B42+C42+D42)</f>
        <v>0.5625</v>
      </c>
      <c r="F42">
        <f>16+3+23+2+4+7+14+4+15+17+9+7+12+3+16+0+6+11+11+8+12+5+7+2+8+10+0+14+2+7+17+0</f>
        <v>272</v>
      </c>
      <c r="G42">
        <f>0+14+3+8+6+5+3+8+6+2+5+3+0+13+5+14+10+12+8+11+0+4+2+4+9+2+13+10+9+6+2+5</f>
        <v>202</v>
      </c>
      <c r="H42">
        <f t="shared" ref="H42" si="49">F42-G42</f>
        <v>70</v>
      </c>
      <c r="I42">
        <f>60</f>
        <v>60</v>
      </c>
      <c r="J42">
        <f>40+40+40+40+40</f>
        <v>200</v>
      </c>
      <c r="K42">
        <f>20</f>
        <v>20</v>
      </c>
      <c r="L42">
        <f t="shared" ref="L42" si="50">B42*10</f>
        <v>180</v>
      </c>
      <c r="M42">
        <f t="shared" ref="M42" si="51">D42*5</f>
        <v>0</v>
      </c>
      <c r="N42">
        <f>10+10+10+10+10+10+10+10</f>
        <v>80</v>
      </c>
      <c r="O42">
        <f t="shared" ref="O42" si="52">SUM(I42:N42)</f>
        <v>540</v>
      </c>
    </row>
    <row r="43" spans="1:16" x14ac:dyDescent="0.35">
      <c r="A43" s="3" t="s">
        <v>50</v>
      </c>
      <c r="B43">
        <f>16+1+1+1+1+1+1+1+1+1+1+1+1+1+1+1</f>
        <v>31</v>
      </c>
      <c r="C43">
        <f>5+1+1+1</f>
        <v>8</v>
      </c>
      <c r="D43">
        <f>1</f>
        <v>1</v>
      </c>
      <c r="E43" s="2">
        <f t="shared" si="5"/>
        <v>0.77500000000000002</v>
      </c>
      <c r="F43">
        <f>6+12+8+7+7+10+5+19+7+4+17+2+8+7+4+11+26+8+11+8+4+8+11+10+6+4+11+5+6+4+11+10+18+15+12+11+9+14+17+5</f>
        <v>378</v>
      </c>
      <c r="G43">
        <f>5+10+6+6+12+2+2+4+4+11+2+12+8+11+2+10+4+3+7+5+5+1+5+4+6+7+6+1+7+4+3+3+8+1+0+4+2+2+3+4+0</f>
        <v>202</v>
      </c>
      <c r="H43">
        <f t="shared" si="6"/>
        <v>176</v>
      </c>
      <c r="I43">
        <f>120+60+60+60</f>
        <v>300</v>
      </c>
      <c r="J43">
        <f>80+40</f>
        <v>120</v>
      </c>
      <c r="K43">
        <f>20</f>
        <v>20</v>
      </c>
      <c r="L43">
        <f t="shared" si="7"/>
        <v>310</v>
      </c>
      <c r="M43">
        <f t="shared" si="43"/>
        <v>5</v>
      </c>
      <c r="N43">
        <f>50+10+10+10+10+10</f>
        <v>100</v>
      </c>
      <c r="O43">
        <f t="shared" si="9"/>
        <v>855</v>
      </c>
    </row>
    <row r="44" spans="1:16" x14ac:dyDescent="0.35">
      <c r="A44" s="3" t="s">
        <v>61</v>
      </c>
      <c r="B44">
        <f>1+1</f>
        <v>2</v>
      </c>
      <c r="C44">
        <f>3+1</f>
        <v>4</v>
      </c>
      <c r="D44">
        <f>0</f>
        <v>0</v>
      </c>
      <c r="E44" s="2">
        <f t="shared" si="5"/>
        <v>0.33333333333333331</v>
      </c>
      <c r="F44">
        <f>1+1+4+14+13+3</f>
        <v>36</v>
      </c>
      <c r="G44">
        <f>10+14+14+6+4+13</f>
        <v>61</v>
      </c>
      <c r="H44">
        <f t="shared" si="6"/>
        <v>-25</v>
      </c>
      <c r="K44">
        <f>20</f>
        <v>20</v>
      </c>
      <c r="L44">
        <f t="shared" si="7"/>
        <v>20</v>
      </c>
      <c r="M44">
        <f t="shared" si="43"/>
        <v>0</v>
      </c>
      <c r="N44">
        <f>10+10</f>
        <v>20</v>
      </c>
      <c r="O44">
        <f t="shared" si="9"/>
        <v>60</v>
      </c>
    </row>
    <row r="45" spans="1:16" x14ac:dyDescent="0.35">
      <c r="A45" s="3" t="s">
        <v>104</v>
      </c>
      <c r="B45">
        <f>0</f>
        <v>0</v>
      </c>
      <c r="C45">
        <f>8</f>
        <v>8</v>
      </c>
      <c r="D45">
        <f>0</f>
        <v>0</v>
      </c>
      <c r="E45" s="2">
        <f t="shared" si="5"/>
        <v>0</v>
      </c>
      <c r="F45">
        <f>3+9+1+4+0+7+5+5</f>
        <v>34</v>
      </c>
      <c r="G45">
        <f>14+18+16+10+13+14+17+15</f>
        <v>117</v>
      </c>
      <c r="H45">
        <f t="shared" si="6"/>
        <v>-83</v>
      </c>
      <c r="L45">
        <f t="shared" si="7"/>
        <v>0</v>
      </c>
      <c r="M45">
        <f t="shared" si="43"/>
        <v>0</v>
      </c>
      <c r="N45">
        <f>20</f>
        <v>20</v>
      </c>
      <c r="O45">
        <f t="shared" si="9"/>
        <v>20</v>
      </c>
    </row>
    <row r="46" spans="1:16" x14ac:dyDescent="0.35">
      <c r="A46" s="6" t="s">
        <v>76</v>
      </c>
      <c r="B46" s="4">
        <f>12+2</f>
        <v>14</v>
      </c>
      <c r="C46" s="4">
        <f>14+2</f>
        <v>16</v>
      </c>
      <c r="D46" s="4">
        <f>1</f>
        <v>1</v>
      </c>
      <c r="E46" s="5">
        <f t="shared" si="5"/>
        <v>0.45161290322580644</v>
      </c>
      <c r="F46" s="4">
        <f>3+2+4+6+4+2+6+12+22+3+8+0+7+16+4+12+12+12+11+6+15+18+1+7+1+1+6+4+7+0</f>
        <v>212</v>
      </c>
      <c r="G46" s="4">
        <f>8+9+8+24+2+2+4+6+3+20+8+7+5+7+14+0+11+7+4+3+8+16+8+5+8+4+10+5+11</f>
        <v>227</v>
      </c>
      <c r="H46" s="4">
        <f t="shared" si="6"/>
        <v>-15</v>
      </c>
      <c r="I46" s="4">
        <f>180</f>
        <v>180</v>
      </c>
      <c r="J46" s="4">
        <f>40</f>
        <v>40</v>
      </c>
      <c r="K46" s="4">
        <f>20+20</f>
        <v>40</v>
      </c>
      <c r="L46" s="4">
        <f t="shared" si="7"/>
        <v>140</v>
      </c>
      <c r="M46" s="4">
        <f t="shared" si="43"/>
        <v>5</v>
      </c>
      <c r="N46" s="4">
        <f>10+70</f>
        <v>80</v>
      </c>
      <c r="O46" s="4">
        <f t="shared" si="9"/>
        <v>485</v>
      </c>
      <c r="P46" s="4"/>
    </row>
    <row r="47" spans="1:16" x14ac:dyDescent="0.35">
      <c r="A47" s="3" t="s">
        <v>162</v>
      </c>
      <c r="B47">
        <f>2</f>
        <v>2</v>
      </c>
      <c r="C47">
        <f>2</f>
        <v>2</v>
      </c>
      <c r="D47">
        <f>0</f>
        <v>0</v>
      </c>
      <c r="E47" s="2">
        <f t="shared" si="5"/>
        <v>0.5</v>
      </c>
      <c r="F47">
        <f>15+11+5+4</f>
        <v>35</v>
      </c>
      <c r="G47">
        <f>14+8+9+4</f>
        <v>35</v>
      </c>
      <c r="H47">
        <f t="shared" si="6"/>
        <v>0</v>
      </c>
      <c r="I47">
        <f>60</f>
        <v>60</v>
      </c>
      <c r="L47">
        <f t="shared" si="7"/>
        <v>20</v>
      </c>
      <c r="M47">
        <f t="shared" si="43"/>
        <v>0</v>
      </c>
      <c r="N47">
        <f>10</f>
        <v>10</v>
      </c>
      <c r="O47">
        <f t="shared" si="9"/>
        <v>90</v>
      </c>
      <c r="P47" s="4"/>
    </row>
    <row r="48" spans="1:16" x14ac:dyDescent="0.35">
      <c r="A48" s="3" t="s">
        <v>69</v>
      </c>
      <c r="B48">
        <f>1+1+1+1+1+1+1+1+1+1+1+1</f>
        <v>12</v>
      </c>
      <c r="C48">
        <f>1+1+1+1+1+1+1</f>
        <v>7</v>
      </c>
      <c r="D48">
        <f>0</f>
        <v>0</v>
      </c>
      <c r="E48" s="2">
        <f t="shared" si="5"/>
        <v>0.63157894736842102</v>
      </c>
      <c r="F48">
        <f>8+4+9+2+7+5+14+2+20+9+7+3+5+10+3+20+12+13+2</f>
        <v>155</v>
      </c>
      <c r="G48">
        <f>2+6+2+7+1+7+6+5+3+14+2+7+1+0+14+5+4+3+1</f>
        <v>90</v>
      </c>
      <c r="H48">
        <f t="shared" si="6"/>
        <v>65</v>
      </c>
      <c r="I48">
        <f>60</f>
        <v>60</v>
      </c>
      <c r="J48">
        <f>40+40+40+40</f>
        <v>160</v>
      </c>
      <c r="L48">
        <f t="shared" si="7"/>
        <v>120</v>
      </c>
      <c r="M48">
        <f t="shared" si="43"/>
        <v>0</v>
      </c>
      <c r="N48">
        <f>10+10+10+10+10</f>
        <v>50</v>
      </c>
      <c r="O48">
        <f t="shared" si="9"/>
        <v>390</v>
      </c>
    </row>
    <row r="49" spans="1:16" x14ac:dyDescent="0.35">
      <c r="A49" s="3" t="s">
        <v>110</v>
      </c>
      <c r="B49">
        <f>1+1+1+1+1+1+1+1+1</f>
        <v>9</v>
      </c>
      <c r="C49">
        <f>1+1+1</f>
        <v>3</v>
      </c>
      <c r="D49">
        <f>0</f>
        <v>0</v>
      </c>
      <c r="E49" s="2">
        <f t="shared" si="5"/>
        <v>0.75</v>
      </c>
      <c r="F49">
        <f>10+0+15+6+17+12+7+3+7+12+12+7</f>
        <v>108</v>
      </c>
      <c r="G49">
        <f>6+19+5+7+1+9+2+11+6+3+0+6</f>
        <v>75</v>
      </c>
      <c r="H49">
        <f t="shared" si="6"/>
        <v>33</v>
      </c>
      <c r="I49">
        <f>60</f>
        <v>60</v>
      </c>
      <c r="J49">
        <f>40</f>
        <v>40</v>
      </c>
      <c r="L49">
        <f t="shared" si="7"/>
        <v>90</v>
      </c>
      <c r="M49">
        <f t="shared" si="43"/>
        <v>0</v>
      </c>
      <c r="N49">
        <f>10+10+10</f>
        <v>30</v>
      </c>
      <c r="O49">
        <f t="shared" si="9"/>
        <v>220</v>
      </c>
    </row>
    <row r="50" spans="1:16" x14ac:dyDescent="0.35">
      <c r="A50" s="3" t="s">
        <v>245</v>
      </c>
      <c r="B50">
        <f>1+1</f>
        <v>2</v>
      </c>
      <c r="C50">
        <f>1+1</f>
        <v>2</v>
      </c>
      <c r="D50">
        <f>0</f>
        <v>0</v>
      </c>
      <c r="E50" s="2">
        <f t="shared" si="5"/>
        <v>0.5</v>
      </c>
      <c r="F50">
        <f>4+1+13+1</f>
        <v>19</v>
      </c>
      <c r="G50">
        <f>2+12+1+7</f>
        <v>22</v>
      </c>
      <c r="H50">
        <f t="shared" si="6"/>
        <v>-3</v>
      </c>
      <c r="J50">
        <f>40</f>
        <v>40</v>
      </c>
      <c r="L50">
        <f t="shared" ref="L50" si="53">B50*10</f>
        <v>20</v>
      </c>
      <c r="M50">
        <f t="shared" ref="M50" si="54">D50*5</f>
        <v>0</v>
      </c>
      <c r="N50">
        <f>10</f>
        <v>10</v>
      </c>
      <c r="O50">
        <f t="shared" ref="O50" si="55">SUM(I50:N50)</f>
        <v>70</v>
      </c>
    </row>
    <row r="51" spans="1:16" x14ac:dyDescent="0.35">
      <c r="A51" s="6" t="s">
        <v>140</v>
      </c>
      <c r="B51" s="4">
        <f>1</f>
        <v>1</v>
      </c>
      <c r="C51" s="4">
        <f>3</f>
        <v>3</v>
      </c>
      <c r="D51" s="4">
        <f>0</f>
        <v>0</v>
      </c>
      <c r="E51" s="5">
        <f t="shared" si="5"/>
        <v>0.25</v>
      </c>
      <c r="F51" s="4">
        <f>2+15+4</f>
        <v>21</v>
      </c>
      <c r="G51" s="4">
        <f>6+10+30</f>
        <v>46</v>
      </c>
      <c r="H51" s="4">
        <f t="shared" si="6"/>
        <v>-25</v>
      </c>
      <c r="I51" s="4"/>
      <c r="J51" s="4"/>
      <c r="K51" s="4"/>
      <c r="L51" s="4">
        <f t="shared" si="7"/>
        <v>10</v>
      </c>
      <c r="M51" s="4">
        <f t="shared" si="43"/>
        <v>0</v>
      </c>
      <c r="N51" s="4">
        <f>10</f>
        <v>10</v>
      </c>
      <c r="O51" s="4">
        <f t="shared" si="9"/>
        <v>20</v>
      </c>
      <c r="P51" s="4"/>
    </row>
    <row r="52" spans="1:16" x14ac:dyDescent="0.35">
      <c r="A52" s="6" t="s">
        <v>93</v>
      </c>
      <c r="B52" s="4">
        <f>6</f>
        <v>6</v>
      </c>
      <c r="C52" s="4">
        <f>1</f>
        <v>1</v>
      </c>
      <c r="D52" s="4">
        <f>0</f>
        <v>0</v>
      </c>
      <c r="E52" s="5">
        <f t="shared" si="5"/>
        <v>0.8571428571428571</v>
      </c>
      <c r="F52" s="4">
        <f>7+10+17+10+20+8+6</f>
        <v>78</v>
      </c>
      <c r="G52" s="4">
        <f>5+7+1+4+3+5+9</f>
        <v>34</v>
      </c>
      <c r="H52" s="4">
        <f t="shared" si="6"/>
        <v>44</v>
      </c>
      <c r="I52" s="4">
        <f>60</f>
        <v>60</v>
      </c>
      <c r="J52" s="4">
        <f>40</f>
        <v>40</v>
      </c>
      <c r="K52" s="4"/>
      <c r="L52" s="4">
        <f t="shared" si="7"/>
        <v>60</v>
      </c>
      <c r="M52" s="4">
        <f t="shared" si="43"/>
        <v>0</v>
      </c>
      <c r="N52" s="4">
        <f>20</f>
        <v>20</v>
      </c>
      <c r="O52" s="4">
        <f t="shared" si="9"/>
        <v>180</v>
      </c>
      <c r="P52" s="4"/>
    </row>
    <row r="53" spans="1:16" x14ac:dyDescent="0.35">
      <c r="A53" s="6" t="s">
        <v>48</v>
      </c>
      <c r="B53" s="4">
        <f>7+1+1+1</f>
        <v>10</v>
      </c>
      <c r="C53" s="4">
        <f>11</f>
        <v>11</v>
      </c>
      <c r="D53" s="4">
        <f>0</f>
        <v>0</v>
      </c>
      <c r="E53" s="5">
        <f t="shared" si="5"/>
        <v>0.47619047619047616</v>
      </c>
      <c r="F53" s="4">
        <f>4+5+11+10+13+4+14+4+11+5+1+10+12+6+12+12+15+0+13+16+14</f>
        <v>192</v>
      </c>
      <c r="G53" s="4">
        <f>16+6+11+0+1+3+1+12+5+7+17+18+4+4+13+0+12+29+3+1+0</f>
        <v>163</v>
      </c>
      <c r="H53" s="4">
        <f t="shared" si="6"/>
        <v>29</v>
      </c>
      <c r="I53" s="4">
        <f>60+60</f>
        <v>120</v>
      </c>
      <c r="J53" s="4"/>
      <c r="K53" s="4">
        <f>40</f>
        <v>40</v>
      </c>
      <c r="L53" s="4">
        <f t="shared" si="7"/>
        <v>100</v>
      </c>
      <c r="M53" s="4">
        <f t="shared" si="43"/>
        <v>0</v>
      </c>
      <c r="N53" s="4">
        <f>40+10</f>
        <v>50</v>
      </c>
      <c r="O53" s="4">
        <f t="shared" si="9"/>
        <v>310</v>
      </c>
      <c r="P53" s="4"/>
    </row>
    <row r="54" spans="1:16" x14ac:dyDescent="0.35">
      <c r="A54" s="6" t="s">
        <v>67</v>
      </c>
      <c r="B54" s="4">
        <f>17+2+1</f>
        <v>20</v>
      </c>
      <c r="C54" s="4">
        <f>12+1+1</f>
        <v>14</v>
      </c>
      <c r="D54" s="4">
        <f>1</f>
        <v>1</v>
      </c>
      <c r="E54" s="5">
        <f t="shared" si="5"/>
        <v>0.5714285714285714</v>
      </c>
      <c r="F54" s="4">
        <f>7+6+9+12+8+12+4+5+12+16+8+11+18+15+8+1+2+13+2+16+11+11+11+17+7+5+8+8+14+11+7+5+11+6</f>
        <v>317</v>
      </c>
      <c r="G54" s="4">
        <f>3+6+10+11+7+4+10+7+5+1+7+4+10+2+10+14+17+9+25+1+4+12+13+2+4+12+2+1+9+5+6+7+0+7</f>
        <v>247</v>
      </c>
      <c r="H54" s="4">
        <f t="shared" si="6"/>
        <v>70</v>
      </c>
      <c r="I54" s="4">
        <f>60</f>
        <v>60</v>
      </c>
      <c r="J54" s="4">
        <f>40+160</f>
        <v>200</v>
      </c>
      <c r="K54" s="4">
        <f>20</f>
        <v>20</v>
      </c>
      <c r="L54" s="4">
        <f t="shared" si="7"/>
        <v>200</v>
      </c>
      <c r="M54" s="4">
        <f t="shared" si="43"/>
        <v>5</v>
      </c>
      <c r="N54" s="4">
        <f>10+70</f>
        <v>80</v>
      </c>
      <c r="O54" s="4">
        <f t="shared" si="9"/>
        <v>565</v>
      </c>
      <c r="P54" s="4"/>
    </row>
    <row r="55" spans="1:16" x14ac:dyDescent="0.35">
      <c r="A55" s="6" t="s">
        <v>77</v>
      </c>
      <c r="B55" s="4">
        <f>10+1+1+1+1+1+1+1+1+1+1+1+1+1+1+1+1</f>
        <v>26</v>
      </c>
      <c r="C55" s="4">
        <f>2+12+1</f>
        <v>15</v>
      </c>
      <c r="D55" s="4">
        <f>1+1</f>
        <v>2</v>
      </c>
      <c r="E55" s="5">
        <f t="shared" si="5"/>
        <v>0.60465116279069764</v>
      </c>
      <c r="F55" s="4">
        <f>4+10+24+24+6+7+7+4+9+4+10+22+16+8+5+7+4+22+2+9+8+9+5+15+4+12+6+16+6+9+7+9+11+15+19+12+14+7+7+10+4</f>
        <v>409</v>
      </c>
      <c r="G55" s="4">
        <f>8+9+7+6+14+8+10+12+10+12+8+13+1+8+8+0+5+4+6+11+5+0+11+1+7+8+5+1+4+6+2+12+0+3+6+1+3+2+7+2+2</f>
        <v>248</v>
      </c>
      <c r="H55" s="4">
        <f t="shared" si="6"/>
        <v>161</v>
      </c>
      <c r="I55" s="4">
        <f>60+60+60+60+60+60</f>
        <v>360</v>
      </c>
      <c r="J55" s="4">
        <f>40</f>
        <v>40</v>
      </c>
      <c r="K55" s="4">
        <f>60</f>
        <v>60</v>
      </c>
      <c r="L55" s="4">
        <f t="shared" si="7"/>
        <v>260</v>
      </c>
      <c r="M55" s="4">
        <f t="shared" si="43"/>
        <v>10</v>
      </c>
      <c r="N55" s="4">
        <f>10+60+10+10+10+10</f>
        <v>110</v>
      </c>
      <c r="O55" s="4">
        <f t="shared" si="9"/>
        <v>840</v>
      </c>
      <c r="P55" s="4"/>
    </row>
    <row r="56" spans="1:16" x14ac:dyDescent="0.35">
      <c r="A56" s="6" t="s">
        <v>103</v>
      </c>
      <c r="B56" s="4">
        <f>9</f>
        <v>9</v>
      </c>
      <c r="C56" s="4">
        <f>7</f>
        <v>7</v>
      </c>
      <c r="D56" s="4">
        <f>1</f>
        <v>1</v>
      </c>
      <c r="E56" s="5">
        <f t="shared" ref="E56:E86" si="56">(B56)/(B56+C56+D56)</f>
        <v>0.52941176470588236</v>
      </c>
      <c r="F56" s="4">
        <f>2+9+7+7+7+2+9+12+8+12+11+9+3+7+3+7</f>
        <v>115</v>
      </c>
      <c r="G56" s="4">
        <f>1+10+6+8+4+15+13+5+7+11+10+7+6+6+4+8</f>
        <v>121</v>
      </c>
      <c r="H56" s="4">
        <f t="shared" ref="H56:H86" si="57">F56-G56</f>
        <v>-6</v>
      </c>
      <c r="I56" s="4">
        <f>60</f>
        <v>60</v>
      </c>
      <c r="J56" s="4"/>
      <c r="K56" s="4">
        <f>20</f>
        <v>20</v>
      </c>
      <c r="L56" s="4">
        <f t="shared" si="7"/>
        <v>90</v>
      </c>
      <c r="M56" s="4">
        <f t="shared" si="43"/>
        <v>5</v>
      </c>
      <c r="N56" s="4">
        <f>40</f>
        <v>40</v>
      </c>
      <c r="O56" s="4">
        <f t="shared" ref="O56:O86" si="58">SUM(I56:N56)</f>
        <v>215</v>
      </c>
    </row>
    <row r="57" spans="1:16" x14ac:dyDescent="0.35">
      <c r="A57" s="3" t="s">
        <v>147</v>
      </c>
      <c r="B57">
        <f>2</f>
        <v>2</v>
      </c>
      <c r="C57">
        <f>2</f>
        <v>2</v>
      </c>
      <c r="D57">
        <f>0</f>
        <v>0</v>
      </c>
      <c r="E57" s="2">
        <f t="shared" si="56"/>
        <v>0.5</v>
      </c>
      <c r="F57">
        <f>7+11+8+8</f>
        <v>34</v>
      </c>
      <c r="G57">
        <f>11+4+7+18</f>
        <v>40</v>
      </c>
      <c r="H57">
        <f t="shared" si="57"/>
        <v>-6</v>
      </c>
      <c r="J57">
        <f>40</f>
        <v>40</v>
      </c>
      <c r="L57">
        <f t="shared" si="7"/>
        <v>20</v>
      </c>
      <c r="M57">
        <f t="shared" si="43"/>
        <v>0</v>
      </c>
      <c r="N57">
        <f>10</f>
        <v>10</v>
      </c>
      <c r="O57">
        <f t="shared" si="58"/>
        <v>70</v>
      </c>
    </row>
    <row r="58" spans="1:16" x14ac:dyDescent="0.35">
      <c r="A58" s="3" t="s">
        <v>73</v>
      </c>
      <c r="B58">
        <f>2+1+1+1</f>
        <v>5</v>
      </c>
      <c r="C58">
        <f>1+1+1+1</f>
        <v>4</v>
      </c>
      <c r="D58">
        <f>0</f>
        <v>0</v>
      </c>
      <c r="E58" s="2">
        <f t="shared" si="56"/>
        <v>0.55555555555555558</v>
      </c>
      <c r="F58">
        <f>13+7+12+15+2+11+4+2</f>
        <v>66</v>
      </c>
      <c r="G58">
        <f>3+9+0+5+10+1+6+7</f>
        <v>41</v>
      </c>
      <c r="H58">
        <f t="shared" si="57"/>
        <v>25</v>
      </c>
      <c r="J58">
        <f>40</f>
        <v>40</v>
      </c>
      <c r="K58">
        <f>20+20</f>
        <v>40</v>
      </c>
      <c r="L58">
        <f t="shared" si="7"/>
        <v>50</v>
      </c>
      <c r="M58">
        <f t="shared" si="43"/>
        <v>0</v>
      </c>
      <c r="N58">
        <f>10+10+10</f>
        <v>30</v>
      </c>
      <c r="O58">
        <f t="shared" si="58"/>
        <v>160</v>
      </c>
    </row>
    <row r="59" spans="1:16" x14ac:dyDescent="0.35">
      <c r="A59" s="3" t="s">
        <v>78</v>
      </c>
      <c r="B59">
        <f>1</f>
        <v>1</v>
      </c>
      <c r="C59">
        <f>3</f>
        <v>3</v>
      </c>
      <c r="D59">
        <f>0</f>
        <v>0</v>
      </c>
      <c r="E59" s="2">
        <f t="shared" si="56"/>
        <v>0.25</v>
      </c>
      <c r="F59">
        <f>8+8+8+5</f>
        <v>29</v>
      </c>
      <c r="G59">
        <f>4+12+11+10</f>
        <v>37</v>
      </c>
      <c r="H59">
        <f t="shared" si="57"/>
        <v>-8</v>
      </c>
      <c r="L59">
        <f t="shared" si="7"/>
        <v>10</v>
      </c>
      <c r="M59">
        <f t="shared" si="43"/>
        <v>0</v>
      </c>
      <c r="N59">
        <f>10</f>
        <v>10</v>
      </c>
      <c r="O59">
        <f t="shared" si="58"/>
        <v>20</v>
      </c>
    </row>
    <row r="60" spans="1:16" x14ac:dyDescent="0.35">
      <c r="A60" s="3" t="s">
        <v>92</v>
      </c>
      <c r="B60">
        <f>1</f>
        <v>1</v>
      </c>
      <c r="C60">
        <f>5</f>
        <v>5</v>
      </c>
      <c r="D60">
        <f>0</f>
        <v>0</v>
      </c>
      <c r="E60" s="2">
        <f t="shared" si="56"/>
        <v>0.16666666666666666</v>
      </c>
      <c r="F60">
        <f>10+9+6+5+8</f>
        <v>38</v>
      </c>
      <c r="G60">
        <f>1+12+10+14+10</f>
        <v>47</v>
      </c>
      <c r="H60">
        <f t="shared" si="57"/>
        <v>-9</v>
      </c>
      <c r="K60">
        <f>20</f>
        <v>20</v>
      </c>
      <c r="L60">
        <f t="shared" si="7"/>
        <v>10</v>
      </c>
      <c r="M60">
        <f t="shared" si="43"/>
        <v>0</v>
      </c>
      <c r="N60">
        <f>20</f>
        <v>20</v>
      </c>
      <c r="O60">
        <f t="shared" si="58"/>
        <v>50</v>
      </c>
    </row>
    <row r="61" spans="1:16" x14ac:dyDescent="0.35">
      <c r="A61" s="3" t="s">
        <v>118</v>
      </c>
      <c r="B61">
        <f>1+1+1+1</f>
        <v>4</v>
      </c>
      <c r="C61">
        <f>8+1+1+1+1+1+1+1+1+1+1+1+1+1+1</f>
        <v>22</v>
      </c>
      <c r="D61">
        <f>0</f>
        <v>0</v>
      </c>
      <c r="E61" s="2">
        <f t="shared" si="56"/>
        <v>0.15384615384615385</v>
      </c>
      <c r="F61">
        <f>1+3+1+6+6+6+14+3+0+5+3+2+23+5+0+1+5+10+3+8+5+4+17+3</f>
        <v>134</v>
      </c>
      <c r="G61">
        <f>21+20+16+29+11+20+15+20+12+14+20+17+2+9+12+16+16+6+18+11+20+13+2+15</f>
        <v>355</v>
      </c>
      <c r="H61">
        <f t="shared" si="57"/>
        <v>-221</v>
      </c>
      <c r="K61">
        <f>20+20</f>
        <v>40</v>
      </c>
      <c r="L61">
        <f t="shared" si="7"/>
        <v>40</v>
      </c>
      <c r="M61">
        <f t="shared" si="43"/>
        <v>0</v>
      </c>
      <c r="N61">
        <f>30+10+10+10+10+10</f>
        <v>80</v>
      </c>
      <c r="O61">
        <f t="shared" si="58"/>
        <v>160</v>
      </c>
    </row>
    <row r="62" spans="1:16" x14ac:dyDescent="0.35">
      <c r="A62" s="3" t="s">
        <v>250</v>
      </c>
      <c r="B62">
        <f>1+1+1</f>
        <v>3</v>
      </c>
      <c r="C62">
        <f>0</f>
        <v>0</v>
      </c>
      <c r="D62">
        <f>0</f>
        <v>0</v>
      </c>
      <c r="E62" s="2">
        <f t="shared" si="56"/>
        <v>1</v>
      </c>
      <c r="F62">
        <f>18+12+11</f>
        <v>41</v>
      </c>
      <c r="G62">
        <f>3+11+8</f>
        <v>22</v>
      </c>
      <c r="H62">
        <f t="shared" si="57"/>
        <v>19</v>
      </c>
      <c r="I62">
        <f>60</f>
        <v>60</v>
      </c>
      <c r="L62">
        <f t="shared" ref="L62" si="59">B62*10</f>
        <v>30</v>
      </c>
      <c r="M62">
        <f t="shared" ref="M62" si="60">D62*5</f>
        <v>0</v>
      </c>
      <c r="N62">
        <f>10</f>
        <v>10</v>
      </c>
      <c r="O62">
        <f t="shared" ref="O62" si="61">SUM(I62:N62)</f>
        <v>100</v>
      </c>
    </row>
    <row r="63" spans="1:16" x14ac:dyDescent="0.35">
      <c r="A63" s="3" t="s">
        <v>243</v>
      </c>
      <c r="B63">
        <f>1+1+1+1</f>
        <v>4</v>
      </c>
      <c r="C63">
        <f>1+1+1+1+1+1</f>
        <v>6</v>
      </c>
      <c r="D63">
        <f>0</f>
        <v>0</v>
      </c>
      <c r="E63" s="2">
        <f t="shared" si="56"/>
        <v>0.4</v>
      </c>
      <c r="F63">
        <f>3+4+0+13+10+6+7+1+4+9</f>
        <v>57</v>
      </c>
      <c r="G63">
        <f>12+7+12+0+9+1+4+12+13+10</f>
        <v>80</v>
      </c>
      <c r="H63">
        <f t="shared" si="57"/>
        <v>-23</v>
      </c>
      <c r="I63">
        <f>60</f>
        <v>60</v>
      </c>
      <c r="K63">
        <f>20</f>
        <v>20</v>
      </c>
      <c r="L63">
        <f t="shared" si="7"/>
        <v>40</v>
      </c>
      <c r="M63">
        <f t="shared" si="43"/>
        <v>0</v>
      </c>
      <c r="N63">
        <f>10+10+10</f>
        <v>30</v>
      </c>
      <c r="O63">
        <f t="shared" si="58"/>
        <v>150</v>
      </c>
    </row>
    <row r="64" spans="1:16" x14ac:dyDescent="0.35">
      <c r="E64" s="2" t="e">
        <f t="shared" si="56"/>
        <v>#DIV/0!</v>
      </c>
      <c r="H64">
        <f t="shared" si="57"/>
        <v>0</v>
      </c>
      <c r="M64">
        <f t="shared" si="43"/>
        <v>0</v>
      </c>
      <c r="O64">
        <f t="shared" si="58"/>
        <v>0</v>
      </c>
    </row>
    <row r="65" spans="5:15" x14ac:dyDescent="0.35">
      <c r="E65" s="2" t="e">
        <f t="shared" si="56"/>
        <v>#DIV/0!</v>
      </c>
      <c r="H65">
        <f t="shared" si="57"/>
        <v>0</v>
      </c>
      <c r="M65">
        <f t="shared" si="43"/>
        <v>0</v>
      </c>
      <c r="O65">
        <f t="shared" si="58"/>
        <v>0</v>
      </c>
    </row>
    <row r="66" spans="5:15" x14ac:dyDescent="0.35">
      <c r="E66" s="2" t="e">
        <f t="shared" si="56"/>
        <v>#DIV/0!</v>
      </c>
      <c r="H66">
        <f t="shared" si="57"/>
        <v>0</v>
      </c>
      <c r="M66">
        <f t="shared" si="43"/>
        <v>0</v>
      </c>
      <c r="O66">
        <f t="shared" si="58"/>
        <v>0</v>
      </c>
    </row>
    <row r="67" spans="5:15" x14ac:dyDescent="0.35">
      <c r="E67" s="2" t="e">
        <f t="shared" si="56"/>
        <v>#DIV/0!</v>
      </c>
      <c r="H67">
        <f t="shared" si="57"/>
        <v>0</v>
      </c>
      <c r="M67">
        <f t="shared" ref="M67:M86" si="62">D67*5</f>
        <v>0</v>
      </c>
      <c r="O67">
        <f t="shared" si="58"/>
        <v>0</v>
      </c>
    </row>
    <row r="68" spans="5:15" x14ac:dyDescent="0.35">
      <c r="E68" s="2" t="e">
        <f t="shared" si="56"/>
        <v>#DIV/0!</v>
      </c>
      <c r="H68">
        <f t="shared" si="57"/>
        <v>0</v>
      </c>
      <c r="M68">
        <f t="shared" si="62"/>
        <v>0</v>
      </c>
      <c r="O68">
        <f t="shared" si="58"/>
        <v>0</v>
      </c>
    </row>
    <row r="69" spans="5:15" x14ac:dyDescent="0.35">
      <c r="E69" s="2" t="e">
        <f t="shared" si="56"/>
        <v>#DIV/0!</v>
      </c>
      <c r="H69">
        <f t="shared" si="57"/>
        <v>0</v>
      </c>
      <c r="M69">
        <f t="shared" si="62"/>
        <v>0</v>
      </c>
      <c r="O69">
        <f t="shared" si="58"/>
        <v>0</v>
      </c>
    </row>
    <row r="70" spans="5:15" x14ac:dyDescent="0.35">
      <c r="E70" s="2" t="e">
        <f t="shared" si="56"/>
        <v>#DIV/0!</v>
      </c>
      <c r="H70">
        <f t="shared" si="57"/>
        <v>0</v>
      </c>
      <c r="M70">
        <f t="shared" si="62"/>
        <v>0</v>
      </c>
      <c r="O70">
        <f t="shared" si="58"/>
        <v>0</v>
      </c>
    </row>
    <row r="71" spans="5:15" x14ac:dyDescent="0.35">
      <c r="E71" s="2" t="e">
        <f t="shared" si="56"/>
        <v>#DIV/0!</v>
      </c>
      <c r="H71">
        <f t="shared" si="57"/>
        <v>0</v>
      </c>
      <c r="M71">
        <f t="shared" si="62"/>
        <v>0</v>
      </c>
      <c r="O71">
        <f t="shared" si="58"/>
        <v>0</v>
      </c>
    </row>
    <row r="72" spans="5:15" x14ac:dyDescent="0.35">
      <c r="E72" s="2" t="e">
        <f t="shared" si="56"/>
        <v>#DIV/0!</v>
      </c>
      <c r="H72">
        <f t="shared" si="57"/>
        <v>0</v>
      </c>
      <c r="M72">
        <f t="shared" si="62"/>
        <v>0</v>
      </c>
      <c r="O72">
        <f t="shared" si="58"/>
        <v>0</v>
      </c>
    </row>
    <row r="73" spans="5:15" x14ac:dyDescent="0.35">
      <c r="E73" s="2" t="e">
        <f t="shared" si="56"/>
        <v>#DIV/0!</v>
      </c>
      <c r="H73">
        <f t="shared" si="57"/>
        <v>0</v>
      </c>
      <c r="M73">
        <f t="shared" si="62"/>
        <v>0</v>
      </c>
      <c r="O73">
        <f t="shared" si="58"/>
        <v>0</v>
      </c>
    </row>
    <row r="74" spans="5:15" x14ac:dyDescent="0.35">
      <c r="E74" s="2" t="e">
        <f t="shared" si="56"/>
        <v>#DIV/0!</v>
      </c>
      <c r="H74">
        <f t="shared" si="57"/>
        <v>0</v>
      </c>
      <c r="M74">
        <f t="shared" si="62"/>
        <v>0</v>
      </c>
      <c r="O74">
        <f t="shared" si="58"/>
        <v>0</v>
      </c>
    </row>
    <row r="75" spans="5:15" x14ac:dyDescent="0.35">
      <c r="E75" s="2" t="e">
        <f t="shared" si="56"/>
        <v>#DIV/0!</v>
      </c>
      <c r="H75">
        <f t="shared" si="57"/>
        <v>0</v>
      </c>
      <c r="M75">
        <f t="shared" si="62"/>
        <v>0</v>
      </c>
      <c r="O75">
        <f t="shared" si="58"/>
        <v>0</v>
      </c>
    </row>
    <row r="76" spans="5:15" x14ac:dyDescent="0.35">
      <c r="E76" s="2" t="e">
        <f t="shared" si="56"/>
        <v>#DIV/0!</v>
      </c>
      <c r="H76">
        <f t="shared" si="57"/>
        <v>0</v>
      </c>
      <c r="M76">
        <f t="shared" si="62"/>
        <v>0</v>
      </c>
      <c r="O76">
        <f t="shared" si="58"/>
        <v>0</v>
      </c>
    </row>
    <row r="77" spans="5:15" x14ac:dyDescent="0.35">
      <c r="E77" s="2" t="e">
        <f t="shared" si="56"/>
        <v>#DIV/0!</v>
      </c>
      <c r="H77">
        <f t="shared" si="57"/>
        <v>0</v>
      </c>
      <c r="M77">
        <f t="shared" si="62"/>
        <v>0</v>
      </c>
      <c r="O77">
        <f t="shared" si="58"/>
        <v>0</v>
      </c>
    </row>
    <row r="78" spans="5:15" x14ac:dyDescent="0.35">
      <c r="E78" s="2" t="e">
        <f t="shared" si="56"/>
        <v>#DIV/0!</v>
      </c>
      <c r="H78">
        <f t="shared" si="57"/>
        <v>0</v>
      </c>
      <c r="M78">
        <f t="shared" si="62"/>
        <v>0</v>
      </c>
      <c r="O78">
        <f t="shared" si="58"/>
        <v>0</v>
      </c>
    </row>
    <row r="79" spans="5:15" x14ac:dyDescent="0.35">
      <c r="E79" s="2" t="e">
        <f t="shared" si="56"/>
        <v>#DIV/0!</v>
      </c>
      <c r="H79">
        <f t="shared" si="57"/>
        <v>0</v>
      </c>
      <c r="M79">
        <f t="shared" si="62"/>
        <v>0</v>
      </c>
      <c r="O79">
        <f t="shared" si="58"/>
        <v>0</v>
      </c>
    </row>
    <row r="80" spans="5:15" x14ac:dyDescent="0.35">
      <c r="E80" s="2" t="e">
        <f t="shared" si="56"/>
        <v>#DIV/0!</v>
      </c>
      <c r="H80">
        <f t="shared" si="57"/>
        <v>0</v>
      </c>
      <c r="M80">
        <f t="shared" si="62"/>
        <v>0</v>
      </c>
      <c r="O80">
        <f t="shared" si="58"/>
        <v>0</v>
      </c>
    </row>
    <row r="81" spans="5:15" x14ac:dyDescent="0.35">
      <c r="E81" s="2" t="e">
        <f t="shared" si="56"/>
        <v>#DIV/0!</v>
      </c>
      <c r="H81">
        <f t="shared" si="57"/>
        <v>0</v>
      </c>
      <c r="M81">
        <f t="shared" si="62"/>
        <v>0</v>
      </c>
      <c r="O81">
        <f t="shared" si="58"/>
        <v>0</v>
      </c>
    </row>
    <row r="82" spans="5:15" x14ac:dyDescent="0.35">
      <c r="E82" s="2" t="e">
        <f t="shared" si="56"/>
        <v>#DIV/0!</v>
      </c>
      <c r="H82">
        <f t="shared" si="57"/>
        <v>0</v>
      </c>
      <c r="M82">
        <f t="shared" si="62"/>
        <v>0</v>
      </c>
      <c r="O82">
        <f t="shared" si="58"/>
        <v>0</v>
      </c>
    </row>
    <row r="83" spans="5:15" x14ac:dyDescent="0.35">
      <c r="E83" t="e">
        <f t="shared" si="56"/>
        <v>#DIV/0!</v>
      </c>
      <c r="H83">
        <f t="shared" si="57"/>
        <v>0</v>
      </c>
      <c r="M83">
        <f t="shared" si="62"/>
        <v>0</v>
      </c>
      <c r="O83">
        <f t="shared" si="58"/>
        <v>0</v>
      </c>
    </row>
    <row r="84" spans="5:15" x14ac:dyDescent="0.35">
      <c r="E84" t="e">
        <f t="shared" si="56"/>
        <v>#DIV/0!</v>
      </c>
      <c r="H84">
        <f t="shared" si="57"/>
        <v>0</v>
      </c>
      <c r="M84">
        <f t="shared" si="62"/>
        <v>0</v>
      </c>
      <c r="O84">
        <f t="shared" si="58"/>
        <v>0</v>
      </c>
    </row>
    <row r="85" spans="5:15" x14ac:dyDescent="0.35">
      <c r="E85" t="e">
        <f t="shared" si="56"/>
        <v>#DIV/0!</v>
      </c>
      <c r="H85">
        <f t="shared" si="57"/>
        <v>0</v>
      </c>
      <c r="M85">
        <f t="shared" si="62"/>
        <v>0</v>
      </c>
      <c r="O85">
        <f t="shared" si="58"/>
        <v>0</v>
      </c>
    </row>
    <row r="86" spans="5:15" x14ac:dyDescent="0.35">
      <c r="E86" t="e">
        <f t="shared" si="56"/>
        <v>#DIV/0!</v>
      </c>
      <c r="H86">
        <f t="shared" si="57"/>
        <v>0</v>
      </c>
      <c r="M86">
        <f t="shared" si="62"/>
        <v>0</v>
      </c>
      <c r="O86">
        <f t="shared" si="58"/>
        <v>0</v>
      </c>
    </row>
  </sheetData>
  <sortState xmlns:xlrd2="http://schemas.microsoft.com/office/spreadsheetml/2017/richdata2" ref="A4:O80">
    <sortCondition ref="A34:A80"/>
  </sortState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88"/>
  <sheetViews>
    <sheetView topLeftCell="A43" zoomScaleNormal="100" workbookViewId="0">
      <selection activeCell="H48" sqref="H48"/>
    </sheetView>
  </sheetViews>
  <sheetFormatPr defaultRowHeight="14.5" x14ac:dyDescent="0.35"/>
  <cols>
    <col min="1" max="1" width="27" customWidth="1"/>
  </cols>
  <sheetData>
    <row r="1" spans="1:27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35">
      <c r="A3" s="3" t="s">
        <v>56</v>
      </c>
      <c r="B3">
        <f>9</f>
        <v>9</v>
      </c>
      <c r="C3">
        <f>0</f>
        <v>0</v>
      </c>
      <c r="D3">
        <f>0</f>
        <v>0</v>
      </c>
      <c r="E3" s="2">
        <f t="shared" ref="E3:E55" si="0">(B3)/(B3+C3+D3)</f>
        <v>1</v>
      </c>
      <c r="F3">
        <f>9+8+10+10+18+9+13+6+10</f>
        <v>93</v>
      </c>
      <c r="G3">
        <f>2+2+4+0+6+4+4+42</f>
        <v>64</v>
      </c>
      <c r="H3">
        <f t="shared" ref="H3:H55" si="1">F3-G3</f>
        <v>29</v>
      </c>
      <c r="I3">
        <f>120</f>
        <v>120</v>
      </c>
      <c r="L3">
        <f t="shared" ref="L3:L46" si="2">B3*10</f>
        <v>90</v>
      </c>
      <c r="M3">
        <f t="shared" ref="M3:M54" si="3">D3*5</f>
        <v>0</v>
      </c>
      <c r="N3">
        <f>20</f>
        <v>20</v>
      </c>
      <c r="O3">
        <f t="shared" ref="O3:O55" si="4">SUM(I3:N3)</f>
        <v>230</v>
      </c>
    </row>
    <row r="4" spans="1:27" x14ac:dyDescent="0.35">
      <c r="A4" s="3" t="s">
        <v>231</v>
      </c>
      <c r="B4">
        <f>1+1+1</f>
        <v>3</v>
      </c>
      <c r="C4">
        <f>1+1+1+1+1+1</f>
        <v>6</v>
      </c>
      <c r="D4">
        <f>0</f>
        <v>0</v>
      </c>
      <c r="E4" s="2">
        <f t="shared" si="0"/>
        <v>0.33333333333333331</v>
      </c>
      <c r="F4">
        <f>11+1+1+3+5+4+9+6+4</f>
        <v>44</v>
      </c>
      <c r="G4">
        <f>6+16+11+11+12+5+8+4+5</f>
        <v>78</v>
      </c>
      <c r="H4">
        <f t="shared" si="1"/>
        <v>-34</v>
      </c>
      <c r="J4">
        <f>40</f>
        <v>40</v>
      </c>
      <c r="K4">
        <f>20</f>
        <v>20</v>
      </c>
      <c r="L4">
        <f t="shared" si="2"/>
        <v>30</v>
      </c>
      <c r="M4">
        <f t="shared" si="3"/>
        <v>0</v>
      </c>
      <c r="N4">
        <f>10+10+10</f>
        <v>30</v>
      </c>
      <c r="O4">
        <f t="shared" si="4"/>
        <v>120</v>
      </c>
    </row>
    <row r="5" spans="1:27" x14ac:dyDescent="0.35">
      <c r="A5" s="3" t="s">
        <v>246</v>
      </c>
      <c r="B5">
        <f>1+1</f>
        <v>2</v>
      </c>
      <c r="C5">
        <f>1+1+1+1+1</f>
        <v>5</v>
      </c>
      <c r="D5">
        <f>0</f>
        <v>0</v>
      </c>
      <c r="E5" s="2">
        <f t="shared" si="0"/>
        <v>0.2857142857142857</v>
      </c>
      <c r="F5">
        <f>14+6+6+8+6+16+5</f>
        <v>61</v>
      </c>
      <c r="G5">
        <f>10+8+10+9+11+0+7</f>
        <v>55</v>
      </c>
      <c r="H5">
        <f t="shared" si="1"/>
        <v>6</v>
      </c>
      <c r="J5">
        <f>40</f>
        <v>40</v>
      </c>
      <c r="K5">
        <f>20</f>
        <v>20</v>
      </c>
      <c r="L5">
        <f t="shared" si="2"/>
        <v>20</v>
      </c>
      <c r="M5">
        <f t="shared" si="3"/>
        <v>0</v>
      </c>
      <c r="N5">
        <f>10+10</f>
        <v>20</v>
      </c>
      <c r="O5">
        <f t="shared" ref="O5" si="5">SUM(I5:N5)</f>
        <v>100</v>
      </c>
    </row>
    <row r="6" spans="1:27" x14ac:dyDescent="0.35">
      <c r="A6" s="3" t="s">
        <v>57</v>
      </c>
      <c r="B6">
        <f>8</f>
        <v>8</v>
      </c>
      <c r="C6">
        <f>6</f>
        <v>6</v>
      </c>
      <c r="D6">
        <f>0</f>
        <v>0</v>
      </c>
      <c r="E6" s="2">
        <f t="shared" si="0"/>
        <v>0.5714285714285714</v>
      </c>
      <c r="F6">
        <f>8+2+13+12+0+7+19+8+17+14+12+14</f>
        <v>126</v>
      </c>
      <c r="G6">
        <f>11+9+1+3+10+0+0+11+29+4+7+3</f>
        <v>88</v>
      </c>
      <c r="H6">
        <f t="shared" si="1"/>
        <v>38</v>
      </c>
      <c r="I6">
        <f>60</f>
        <v>60</v>
      </c>
      <c r="J6">
        <f>40</f>
        <v>40</v>
      </c>
      <c r="K6">
        <f>20</f>
        <v>20</v>
      </c>
      <c r="L6">
        <f t="shared" si="2"/>
        <v>80</v>
      </c>
      <c r="M6">
        <f t="shared" si="3"/>
        <v>0</v>
      </c>
      <c r="N6">
        <f>30</f>
        <v>30</v>
      </c>
      <c r="O6">
        <f t="shared" si="4"/>
        <v>230</v>
      </c>
    </row>
    <row r="7" spans="1:27" x14ac:dyDescent="0.35">
      <c r="A7" s="3" t="s">
        <v>32</v>
      </c>
      <c r="B7">
        <f>6+1+1+1+1+1</f>
        <v>11</v>
      </c>
      <c r="C7">
        <f>7+1+1+1</f>
        <v>10</v>
      </c>
      <c r="D7">
        <f>1</f>
        <v>1</v>
      </c>
      <c r="E7" s="2">
        <f t="shared" si="0"/>
        <v>0.5</v>
      </c>
      <c r="F7">
        <f>4+1+3+8+1+0+10+15+14+5+23+6+8+16+10+9+4+13+3+15+3</f>
        <v>171</v>
      </c>
      <c r="G7">
        <f>4+8+12+9+13+10+4+3+6+8+17+5+12+4+2+8+8+1+4+0+4</f>
        <v>142</v>
      </c>
      <c r="H7">
        <f t="shared" si="1"/>
        <v>29</v>
      </c>
      <c r="J7">
        <f>120+40+40</f>
        <v>200</v>
      </c>
      <c r="L7">
        <f t="shared" si="2"/>
        <v>110</v>
      </c>
      <c r="M7">
        <f t="shared" si="3"/>
        <v>5</v>
      </c>
      <c r="N7">
        <f>40+10+10</f>
        <v>60</v>
      </c>
      <c r="O7">
        <f t="shared" si="4"/>
        <v>375</v>
      </c>
    </row>
    <row r="8" spans="1:27" x14ac:dyDescent="0.35">
      <c r="A8" s="3" t="s">
        <v>213</v>
      </c>
      <c r="B8">
        <f>1</f>
        <v>1</v>
      </c>
      <c r="C8">
        <f>1+1+1+1+1+1+1+1+1+1</f>
        <v>10</v>
      </c>
      <c r="D8">
        <f>1</f>
        <v>1</v>
      </c>
      <c r="E8" s="2">
        <f t="shared" ref="E8" si="6">(B8)/(B8+C8+D8)</f>
        <v>8.3333333333333329E-2</v>
      </c>
      <c r="F8">
        <f>1+8+13+0+7+1+1+2+0+4+8+0</f>
        <v>45</v>
      </c>
      <c r="G8">
        <f>17+6+16+18+7+8+13+6+10+6+9+16</f>
        <v>132</v>
      </c>
      <c r="H8">
        <f t="shared" ref="H8" si="7">F8-G8</f>
        <v>-87</v>
      </c>
      <c r="K8">
        <f>20+20</f>
        <v>40</v>
      </c>
      <c r="L8">
        <f t="shared" ref="L8" si="8">B8*10</f>
        <v>10</v>
      </c>
      <c r="M8">
        <f t="shared" ref="M8" si="9">D8*5</f>
        <v>5</v>
      </c>
      <c r="N8">
        <f>10+10+10+10</f>
        <v>40</v>
      </c>
      <c r="O8">
        <f t="shared" ref="O8" si="10">SUM(I8:N8)</f>
        <v>95</v>
      </c>
    </row>
    <row r="9" spans="1:27" x14ac:dyDescent="0.35">
      <c r="A9" s="3" t="s">
        <v>34</v>
      </c>
      <c r="B9">
        <f>7+1+1+1+1+1+1+1+1+1+1</f>
        <v>17</v>
      </c>
      <c r="C9">
        <f>5+1+1</f>
        <v>7</v>
      </c>
      <c r="D9">
        <f>0</f>
        <v>0</v>
      </c>
      <c r="E9" s="2">
        <f t="shared" si="0"/>
        <v>0.70833333333333337</v>
      </c>
      <c r="F9">
        <f>2+3+6+12+5+7+3+3+2+9+8+9+17+12+9+4+17+12+10+5+15+6+10+1</f>
        <v>187</v>
      </c>
      <c r="G9">
        <f>7+9+5+3+0+1+13+5+6+3+3+7+0+0+7+8+1+4+5+2+1+1+5+11</f>
        <v>107</v>
      </c>
      <c r="H9">
        <f t="shared" si="1"/>
        <v>80</v>
      </c>
      <c r="I9">
        <f>120+60</f>
        <v>180</v>
      </c>
      <c r="J9">
        <f>40+40</f>
        <v>80</v>
      </c>
      <c r="K9">
        <f>20</f>
        <v>20</v>
      </c>
      <c r="L9">
        <f t="shared" si="2"/>
        <v>170</v>
      </c>
      <c r="M9">
        <f t="shared" si="3"/>
        <v>0</v>
      </c>
      <c r="N9">
        <f>30+10+10+10</f>
        <v>60</v>
      </c>
      <c r="O9">
        <f t="shared" si="4"/>
        <v>510</v>
      </c>
    </row>
    <row r="10" spans="1:27" x14ac:dyDescent="0.35">
      <c r="A10" s="3" t="s">
        <v>184</v>
      </c>
      <c r="B10">
        <f>1</f>
        <v>1</v>
      </c>
      <c r="C10">
        <f>1+1+1+1+1</f>
        <v>5</v>
      </c>
      <c r="D10">
        <f>0</f>
        <v>0</v>
      </c>
      <c r="E10" s="2">
        <f t="shared" si="0"/>
        <v>0.16666666666666666</v>
      </c>
      <c r="F10">
        <f>4+0+5+5+8+4</f>
        <v>26</v>
      </c>
      <c r="G10">
        <f>15+12+8+10+7+14</f>
        <v>66</v>
      </c>
      <c r="H10">
        <f t="shared" si="1"/>
        <v>-40</v>
      </c>
      <c r="L10">
        <f t="shared" si="2"/>
        <v>10</v>
      </c>
      <c r="M10">
        <f t="shared" si="3"/>
        <v>0</v>
      </c>
      <c r="N10">
        <f>10+10</f>
        <v>20</v>
      </c>
      <c r="O10">
        <f t="shared" si="4"/>
        <v>30</v>
      </c>
    </row>
    <row r="11" spans="1:27" x14ac:dyDescent="0.35">
      <c r="A11" s="3" t="s">
        <v>90</v>
      </c>
      <c r="B11">
        <f>1</f>
        <v>1</v>
      </c>
      <c r="C11">
        <f>1+1</f>
        <v>2</v>
      </c>
      <c r="D11">
        <f>0</f>
        <v>0</v>
      </c>
      <c r="E11" s="2">
        <f t="shared" si="0"/>
        <v>0.33333333333333331</v>
      </c>
      <c r="F11">
        <f>13+2+10</f>
        <v>25</v>
      </c>
      <c r="G11">
        <f>5+15+11</f>
        <v>31</v>
      </c>
      <c r="H11">
        <f t="shared" si="1"/>
        <v>-6</v>
      </c>
      <c r="K11">
        <f>20</f>
        <v>20</v>
      </c>
      <c r="L11">
        <f t="shared" si="2"/>
        <v>10</v>
      </c>
      <c r="M11">
        <f t="shared" si="3"/>
        <v>0</v>
      </c>
      <c r="N11">
        <f>10</f>
        <v>10</v>
      </c>
      <c r="O11">
        <f t="shared" si="4"/>
        <v>40</v>
      </c>
    </row>
    <row r="12" spans="1:27" x14ac:dyDescent="0.35">
      <c r="A12" s="3" t="s">
        <v>131</v>
      </c>
      <c r="B12">
        <f>3</f>
        <v>3</v>
      </c>
      <c r="C12">
        <f>2</f>
        <v>2</v>
      </c>
      <c r="D12">
        <f>0</f>
        <v>0</v>
      </c>
      <c r="E12" s="2">
        <f t="shared" si="0"/>
        <v>0.6</v>
      </c>
      <c r="F12">
        <f>5+10+7+11+4</f>
        <v>37</v>
      </c>
      <c r="G12">
        <f>6+6+4+4+5</f>
        <v>25</v>
      </c>
      <c r="H12">
        <f t="shared" si="1"/>
        <v>12</v>
      </c>
      <c r="J12">
        <f>40</f>
        <v>40</v>
      </c>
      <c r="L12">
        <f t="shared" si="2"/>
        <v>30</v>
      </c>
      <c r="M12">
        <f t="shared" si="3"/>
        <v>0</v>
      </c>
      <c r="N12">
        <f>10</f>
        <v>10</v>
      </c>
      <c r="O12">
        <f t="shared" si="4"/>
        <v>80</v>
      </c>
    </row>
    <row r="13" spans="1:27" x14ac:dyDescent="0.35">
      <c r="A13" s="3" t="s">
        <v>214</v>
      </c>
      <c r="B13">
        <f>1+1</f>
        <v>2</v>
      </c>
      <c r="C13">
        <f>1+1+1+1+1+1+1+1</f>
        <v>8</v>
      </c>
      <c r="D13">
        <f>0</f>
        <v>0</v>
      </c>
      <c r="E13" s="2">
        <f t="shared" si="0"/>
        <v>0.2</v>
      </c>
      <c r="F13">
        <f>3+1+16+1+0+5+1+6+1+0</f>
        <v>34</v>
      </c>
      <c r="G13">
        <f>11+15+13+13+12+6+13+2+17+15</f>
        <v>117</v>
      </c>
      <c r="H13">
        <f t="shared" si="1"/>
        <v>-83</v>
      </c>
      <c r="J13">
        <f>40</f>
        <v>40</v>
      </c>
      <c r="K13">
        <f>20</f>
        <v>20</v>
      </c>
      <c r="L13">
        <f t="shared" si="2"/>
        <v>20</v>
      </c>
      <c r="M13">
        <f t="shared" si="3"/>
        <v>0</v>
      </c>
      <c r="N13">
        <f>10+10+10</f>
        <v>30</v>
      </c>
      <c r="O13">
        <f t="shared" si="4"/>
        <v>110</v>
      </c>
    </row>
    <row r="14" spans="1:27" x14ac:dyDescent="0.35">
      <c r="A14" s="3" t="s">
        <v>221</v>
      </c>
      <c r="B14">
        <f>1+1+1</f>
        <v>3</v>
      </c>
      <c r="C14">
        <f>1+1+1</f>
        <v>3</v>
      </c>
      <c r="D14">
        <f>0</f>
        <v>0</v>
      </c>
      <c r="E14" s="2">
        <f t="shared" ref="E14" si="11">(B14)/(B14+C14+D14)</f>
        <v>0.5</v>
      </c>
      <c r="F14">
        <f>9+3+5+9+12+15</f>
        <v>53</v>
      </c>
      <c r="G14">
        <f>12+6+10+2+2+0</f>
        <v>32</v>
      </c>
      <c r="H14">
        <f t="shared" ref="H14" si="12">F14-G14</f>
        <v>21</v>
      </c>
      <c r="I14">
        <f>60</f>
        <v>60</v>
      </c>
      <c r="L14">
        <f t="shared" ref="L14" si="13">B14*10</f>
        <v>30</v>
      </c>
      <c r="M14">
        <f t="shared" ref="M14" si="14">D14*5</f>
        <v>0</v>
      </c>
      <c r="N14">
        <f>10+10</f>
        <v>20</v>
      </c>
      <c r="O14">
        <f t="shared" ref="O14" si="15">SUM(I14:N14)</f>
        <v>110</v>
      </c>
    </row>
    <row r="15" spans="1:27" x14ac:dyDescent="0.35">
      <c r="A15" s="3" t="s">
        <v>124</v>
      </c>
      <c r="B15">
        <f>0</f>
        <v>0</v>
      </c>
      <c r="C15">
        <f>3</f>
        <v>3</v>
      </c>
      <c r="D15">
        <f>0</f>
        <v>0</v>
      </c>
      <c r="E15" s="2">
        <f t="shared" si="0"/>
        <v>0</v>
      </c>
      <c r="F15">
        <f>8+5</f>
        <v>13</v>
      </c>
      <c r="G15">
        <f>16+12+11</f>
        <v>39</v>
      </c>
      <c r="H15">
        <f t="shared" si="1"/>
        <v>-26</v>
      </c>
      <c r="L15">
        <f t="shared" si="2"/>
        <v>0</v>
      </c>
      <c r="M15">
        <f t="shared" si="3"/>
        <v>0</v>
      </c>
      <c r="N15">
        <f>10</f>
        <v>10</v>
      </c>
      <c r="O15">
        <f t="shared" si="4"/>
        <v>10</v>
      </c>
    </row>
    <row r="16" spans="1:27" x14ac:dyDescent="0.35">
      <c r="A16" s="3" t="s">
        <v>181</v>
      </c>
      <c r="B16">
        <f>1+1+1+1+1+1</f>
        <v>6</v>
      </c>
      <c r="C16">
        <f>1+1+1+1+1+1+1</f>
        <v>7</v>
      </c>
      <c r="D16">
        <f>0</f>
        <v>0</v>
      </c>
      <c r="E16" s="2">
        <f t="shared" si="0"/>
        <v>0.46153846153846156</v>
      </c>
      <c r="F16">
        <f>5+3+0+2+10+5+2+17+6+2+2+9+7</f>
        <v>70</v>
      </c>
      <c r="G16">
        <f>15+7+8+17+5+4+4+2+5+16+11+8+5</f>
        <v>107</v>
      </c>
      <c r="H16">
        <f t="shared" si="1"/>
        <v>-37</v>
      </c>
      <c r="I16">
        <f>60</f>
        <v>60</v>
      </c>
      <c r="J16">
        <f>40</f>
        <v>40</v>
      </c>
      <c r="K16">
        <f>20+20</f>
        <v>40</v>
      </c>
      <c r="L16">
        <f t="shared" si="2"/>
        <v>60</v>
      </c>
      <c r="M16">
        <f t="shared" si="3"/>
        <v>0</v>
      </c>
      <c r="N16">
        <f>10+10+10+10</f>
        <v>40</v>
      </c>
      <c r="O16">
        <f t="shared" si="4"/>
        <v>240</v>
      </c>
    </row>
    <row r="17" spans="1:15" x14ac:dyDescent="0.35">
      <c r="A17" s="3" t="s">
        <v>128</v>
      </c>
      <c r="B17">
        <f>4</f>
        <v>4</v>
      </c>
      <c r="C17">
        <f>1</f>
        <v>1</v>
      </c>
      <c r="D17">
        <f>0</f>
        <v>0</v>
      </c>
      <c r="E17" s="2">
        <f t="shared" si="0"/>
        <v>0.8</v>
      </c>
      <c r="F17">
        <f>18+30+9+4+7</f>
        <v>68</v>
      </c>
      <c r="G17">
        <f>7+1+3+3+8</f>
        <v>22</v>
      </c>
      <c r="H17">
        <f t="shared" si="1"/>
        <v>46</v>
      </c>
      <c r="J17">
        <f>40</f>
        <v>40</v>
      </c>
      <c r="L17">
        <f t="shared" si="2"/>
        <v>40</v>
      </c>
      <c r="M17">
        <f t="shared" si="3"/>
        <v>0</v>
      </c>
      <c r="N17">
        <f>10</f>
        <v>10</v>
      </c>
      <c r="O17">
        <f t="shared" si="4"/>
        <v>90</v>
      </c>
    </row>
    <row r="18" spans="1:15" x14ac:dyDescent="0.35">
      <c r="A18" s="3" t="s">
        <v>58</v>
      </c>
      <c r="B18">
        <f>7</f>
        <v>7</v>
      </c>
      <c r="C18">
        <f>11</f>
        <v>11</v>
      </c>
      <c r="D18">
        <f>0</f>
        <v>0</v>
      </c>
      <c r="E18" s="2">
        <f t="shared" si="0"/>
        <v>0.3888888888888889</v>
      </c>
      <c r="F18">
        <f>4+2+11+1+0+2+8+3+6+6+5+4+5+4+4+13+8+7</f>
        <v>93</v>
      </c>
      <c r="G18">
        <f>8+12+8+13+7+11+9+15+17+14+3+1+4+5+2+1+6+5</f>
        <v>141</v>
      </c>
      <c r="H18">
        <f t="shared" si="1"/>
        <v>-48</v>
      </c>
      <c r="I18">
        <f>60</f>
        <v>60</v>
      </c>
      <c r="K18">
        <f>20</f>
        <v>20</v>
      </c>
      <c r="L18">
        <f t="shared" si="2"/>
        <v>70</v>
      </c>
      <c r="M18">
        <f t="shared" si="3"/>
        <v>0</v>
      </c>
      <c r="N18">
        <f>50</f>
        <v>50</v>
      </c>
      <c r="O18">
        <f t="shared" si="4"/>
        <v>200</v>
      </c>
    </row>
    <row r="19" spans="1:15" x14ac:dyDescent="0.35">
      <c r="A19" s="3" t="s">
        <v>113</v>
      </c>
      <c r="B19">
        <f>4</f>
        <v>4</v>
      </c>
      <c r="C19">
        <f>4</f>
        <v>4</v>
      </c>
      <c r="D19">
        <f>0</f>
        <v>0</v>
      </c>
      <c r="E19" s="2">
        <f t="shared" si="0"/>
        <v>0.5</v>
      </c>
      <c r="F19">
        <f>4+6+7+9+8+19+7+6</f>
        <v>66</v>
      </c>
      <c r="G19">
        <f>18+4+4+4+9+6+11+7</f>
        <v>63</v>
      </c>
      <c r="H19">
        <f t="shared" si="1"/>
        <v>3</v>
      </c>
      <c r="K19">
        <f>40</f>
        <v>40</v>
      </c>
      <c r="L19">
        <f t="shared" si="2"/>
        <v>40</v>
      </c>
      <c r="M19">
        <f t="shared" si="3"/>
        <v>0</v>
      </c>
      <c r="N19">
        <f>20</f>
        <v>20</v>
      </c>
      <c r="O19">
        <f t="shared" si="4"/>
        <v>100</v>
      </c>
    </row>
    <row r="20" spans="1:15" x14ac:dyDescent="0.35">
      <c r="A20" s="3" t="s">
        <v>80</v>
      </c>
      <c r="B20">
        <f>4</f>
        <v>4</v>
      </c>
      <c r="C20">
        <f>5</f>
        <v>5</v>
      </c>
      <c r="D20">
        <f>2</f>
        <v>2</v>
      </c>
      <c r="E20" s="2">
        <f t="shared" si="0"/>
        <v>0.36363636363636365</v>
      </c>
      <c r="F20">
        <f>5+15+5+15+16+4+13+0+5+6+7</f>
        <v>91</v>
      </c>
      <c r="G20">
        <f>5+4+16+1+5+9+12+6+9+6+8</f>
        <v>81</v>
      </c>
      <c r="H20">
        <f t="shared" si="1"/>
        <v>10</v>
      </c>
      <c r="I20">
        <f>60</f>
        <v>60</v>
      </c>
      <c r="K20">
        <f>20</f>
        <v>20</v>
      </c>
      <c r="L20">
        <f t="shared" si="2"/>
        <v>40</v>
      </c>
      <c r="M20">
        <f t="shared" si="3"/>
        <v>10</v>
      </c>
      <c r="N20">
        <f>30</f>
        <v>30</v>
      </c>
      <c r="O20">
        <f t="shared" si="4"/>
        <v>160</v>
      </c>
    </row>
    <row r="21" spans="1:15" x14ac:dyDescent="0.35">
      <c r="A21" s="3" t="s">
        <v>36</v>
      </c>
      <c r="B21">
        <f>13</f>
        <v>13</v>
      </c>
      <c r="C21">
        <f>2</f>
        <v>2</v>
      </c>
      <c r="D21">
        <f>1</f>
        <v>1</v>
      </c>
      <c r="E21" s="2">
        <f t="shared" si="0"/>
        <v>0.8125</v>
      </c>
      <c r="F21">
        <f>8+19+8+14+17+19+8+3+21+14+14+12+6+11+6+6</f>
        <v>186</v>
      </c>
      <c r="G21">
        <f>1+5+5+2+10+7+4+1+4+4+4+5+12+7+6+10</f>
        <v>87</v>
      </c>
      <c r="H21">
        <f t="shared" si="1"/>
        <v>99</v>
      </c>
      <c r="I21">
        <f>120</f>
        <v>120</v>
      </c>
      <c r="J21">
        <f>40</f>
        <v>40</v>
      </c>
      <c r="K21">
        <f>20</f>
        <v>20</v>
      </c>
      <c r="L21">
        <f t="shared" si="2"/>
        <v>130</v>
      </c>
      <c r="M21">
        <f t="shared" si="3"/>
        <v>5</v>
      </c>
      <c r="N21">
        <f>40</f>
        <v>40</v>
      </c>
      <c r="O21">
        <f t="shared" si="4"/>
        <v>355</v>
      </c>
    </row>
    <row r="22" spans="1:15" x14ac:dyDescent="0.35">
      <c r="A22" s="3" t="s">
        <v>96</v>
      </c>
      <c r="B22">
        <f>2+1+1+1+1+1+1+1+1+1+1</f>
        <v>12</v>
      </c>
      <c r="C22">
        <f>2+1+1</f>
        <v>4</v>
      </c>
      <c r="D22">
        <f>0</f>
        <v>0</v>
      </c>
      <c r="E22" s="2">
        <f t="shared" si="0"/>
        <v>0.75</v>
      </c>
      <c r="F22">
        <f>4+13+6+2+4+6+13+2+12+16+11+5+10+5+8+11</f>
        <v>128</v>
      </c>
      <c r="G22">
        <f>13+7+0+10+12+3+1+5+2+1+1+3+0+4+1+1</f>
        <v>64</v>
      </c>
      <c r="H22">
        <f t="shared" si="1"/>
        <v>64</v>
      </c>
      <c r="I22">
        <f>60+60</f>
        <v>120</v>
      </c>
      <c r="J22">
        <f>40+40</f>
        <v>80</v>
      </c>
      <c r="L22">
        <f t="shared" si="2"/>
        <v>120</v>
      </c>
      <c r="M22">
        <f t="shared" si="3"/>
        <v>0</v>
      </c>
      <c r="N22">
        <f>10+10+10+10</f>
        <v>40</v>
      </c>
      <c r="O22">
        <f t="shared" si="4"/>
        <v>360</v>
      </c>
    </row>
    <row r="23" spans="1:15" x14ac:dyDescent="0.35">
      <c r="A23" s="3" t="s">
        <v>94</v>
      </c>
      <c r="B23">
        <f>3</f>
        <v>3</v>
      </c>
      <c r="C23">
        <f>1</f>
        <v>1</v>
      </c>
      <c r="D23">
        <f>0</f>
        <v>0</v>
      </c>
      <c r="E23" s="2">
        <f t="shared" si="0"/>
        <v>0.75</v>
      </c>
      <c r="F23">
        <f>8+13+7+2</f>
        <v>30</v>
      </c>
      <c r="G23">
        <f>6+1+6+15</f>
        <v>28</v>
      </c>
      <c r="H23">
        <f t="shared" si="1"/>
        <v>2</v>
      </c>
      <c r="J23">
        <f>40</f>
        <v>40</v>
      </c>
      <c r="L23">
        <f t="shared" si="2"/>
        <v>30</v>
      </c>
      <c r="M23">
        <f t="shared" si="3"/>
        <v>0</v>
      </c>
      <c r="N23">
        <f>10</f>
        <v>10</v>
      </c>
      <c r="O23">
        <f t="shared" si="4"/>
        <v>80</v>
      </c>
    </row>
    <row r="24" spans="1:15" ht="14.25" customHeight="1" x14ac:dyDescent="0.35">
      <c r="A24" s="3" t="s">
        <v>75</v>
      </c>
      <c r="B24">
        <f>1</f>
        <v>1</v>
      </c>
      <c r="C24">
        <f>6+1+1+1</f>
        <v>9</v>
      </c>
      <c r="D24">
        <f>0</f>
        <v>0</v>
      </c>
      <c r="E24" s="2">
        <f t="shared" si="0"/>
        <v>0.1</v>
      </c>
      <c r="F24">
        <f>3+10+5+12+5+8+1+4+2+0</f>
        <v>50</v>
      </c>
      <c r="G24">
        <f>12+17+6+15+4+9+8+18+17+17</f>
        <v>123</v>
      </c>
      <c r="H24">
        <f t="shared" si="1"/>
        <v>-73</v>
      </c>
      <c r="K24">
        <f>20</f>
        <v>20</v>
      </c>
      <c r="L24">
        <f t="shared" si="2"/>
        <v>10</v>
      </c>
      <c r="M24">
        <f t="shared" si="3"/>
        <v>0</v>
      </c>
      <c r="N24">
        <f>20+10</f>
        <v>30</v>
      </c>
      <c r="O24">
        <f t="shared" si="4"/>
        <v>60</v>
      </c>
    </row>
    <row r="25" spans="1:15" x14ac:dyDescent="0.35">
      <c r="A25" s="3" t="s">
        <v>191</v>
      </c>
      <c r="B25">
        <f>0</f>
        <v>0</v>
      </c>
      <c r="C25">
        <f>1+1+1</f>
        <v>3</v>
      </c>
      <c r="D25">
        <f>0</f>
        <v>0</v>
      </c>
      <c r="E25" s="2">
        <f t="shared" ref="E25" si="16">(B25)/(B25+C25+D25)</f>
        <v>0</v>
      </c>
      <c r="F25">
        <f>0+4+7</f>
        <v>11</v>
      </c>
      <c r="G25">
        <f>17+13+8</f>
        <v>38</v>
      </c>
      <c r="H25">
        <f t="shared" ref="H25" si="17">F25-G25</f>
        <v>-27</v>
      </c>
      <c r="L25">
        <f t="shared" ref="L25" si="18">B25*10</f>
        <v>0</v>
      </c>
      <c r="M25">
        <f t="shared" ref="M25" si="19">D25*5</f>
        <v>0</v>
      </c>
      <c r="N25">
        <f>10</f>
        <v>10</v>
      </c>
      <c r="O25">
        <f t="shared" ref="O25" si="20">SUM(I25:N25)</f>
        <v>10</v>
      </c>
    </row>
    <row r="26" spans="1:15" x14ac:dyDescent="0.35">
      <c r="A26" s="3" t="s">
        <v>129</v>
      </c>
      <c r="B26">
        <f>0</f>
        <v>0</v>
      </c>
      <c r="C26">
        <f>4</f>
        <v>4</v>
      </c>
      <c r="D26">
        <f>0</f>
        <v>0</v>
      </c>
      <c r="E26" s="2">
        <f t="shared" si="0"/>
        <v>0</v>
      </c>
      <c r="F26">
        <f>1+1+4+5</f>
        <v>11</v>
      </c>
      <c r="G26">
        <f>21+3+14+15</f>
        <v>53</v>
      </c>
      <c r="H26">
        <f t="shared" si="1"/>
        <v>-42</v>
      </c>
      <c r="L26">
        <f t="shared" si="2"/>
        <v>0</v>
      </c>
      <c r="M26">
        <f t="shared" si="3"/>
        <v>0</v>
      </c>
      <c r="N26">
        <f>10</f>
        <v>10</v>
      </c>
      <c r="O26">
        <f t="shared" si="4"/>
        <v>10</v>
      </c>
    </row>
    <row r="27" spans="1:15" x14ac:dyDescent="0.35">
      <c r="A27" s="3" t="s">
        <v>139</v>
      </c>
      <c r="B27">
        <f>0</f>
        <v>0</v>
      </c>
      <c r="C27">
        <f>1+1+1</f>
        <v>3</v>
      </c>
      <c r="D27">
        <f>0</f>
        <v>0</v>
      </c>
      <c r="E27" s="2">
        <f t="shared" si="0"/>
        <v>0</v>
      </c>
      <c r="F27">
        <f>2+6+0</f>
        <v>8</v>
      </c>
      <c r="G27">
        <f>14+8+10</f>
        <v>32</v>
      </c>
      <c r="H27">
        <f t="shared" si="1"/>
        <v>-24</v>
      </c>
      <c r="L27">
        <f t="shared" si="2"/>
        <v>0</v>
      </c>
      <c r="M27">
        <f t="shared" si="3"/>
        <v>0</v>
      </c>
      <c r="N27">
        <f>10</f>
        <v>10</v>
      </c>
      <c r="O27">
        <f t="shared" si="4"/>
        <v>10</v>
      </c>
    </row>
    <row r="28" spans="1:15" x14ac:dyDescent="0.35">
      <c r="A28" s="3" t="s">
        <v>108</v>
      </c>
      <c r="B28">
        <f>0</f>
        <v>0</v>
      </c>
      <c r="C28">
        <f>1+1+1</f>
        <v>3</v>
      </c>
      <c r="D28">
        <f>0</f>
        <v>0</v>
      </c>
      <c r="E28" s="2">
        <f t="shared" si="0"/>
        <v>0</v>
      </c>
      <c r="F28">
        <f>9+0+4</f>
        <v>13</v>
      </c>
      <c r="G28">
        <f>10+15+5</f>
        <v>30</v>
      </c>
      <c r="H28">
        <f t="shared" si="1"/>
        <v>-17</v>
      </c>
      <c r="L28">
        <f t="shared" si="2"/>
        <v>0</v>
      </c>
      <c r="M28">
        <f t="shared" si="3"/>
        <v>0</v>
      </c>
      <c r="N28">
        <f>10</f>
        <v>10</v>
      </c>
      <c r="O28">
        <f t="shared" si="4"/>
        <v>10</v>
      </c>
    </row>
    <row r="29" spans="1:15" x14ac:dyDescent="0.35">
      <c r="A29" s="3" t="s">
        <v>182</v>
      </c>
      <c r="B29">
        <f>1</f>
        <v>1</v>
      </c>
      <c r="C29">
        <f>1+1</f>
        <v>2</v>
      </c>
      <c r="D29">
        <f>0</f>
        <v>0</v>
      </c>
      <c r="E29" s="2">
        <f t="shared" ref="E29" si="21">(B29)/(B29+C29+D29)</f>
        <v>0.33333333333333331</v>
      </c>
      <c r="F29">
        <f>15+2+3</f>
        <v>20</v>
      </c>
      <c r="G29">
        <f>5+10+9</f>
        <v>24</v>
      </c>
      <c r="H29">
        <f t="shared" ref="H29" si="22">F29-G29</f>
        <v>-4</v>
      </c>
      <c r="L29">
        <f t="shared" ref="L29" si="23">B29*10</f>
        <v>10</v>
      </c>
      <c r="M29">
        <f t="shared" ref="M29" si="24">D29*5</f>
        <v>0</v>
      </c>
      <c r="N29">
        <f>10</f>
        <v>10</v>
      </c>
      <c r="O29">
        <f t="shared" ref="O29" si="25">SUM(I29:N29)</f>
        <v>20</v>
      </c>
    </row>
    <row r="30" spans="1:15" x14ac:dyDescent="0.35">
      <c r="A30" s="3" t="s">
        <v>72</v>
      </c>
      <c r="B30">
        <f>0+1+1+1</f>
        <v>3</v>
      </c>
      <c r="C30">
        <f>1+3</f>
        <v>4</v>
      </c>
      <c r="D30">
        <f>0</f>
        <v>0</v>
      </c>
      <c r="E30" s="2">
        <f t="shared" si="0"/>
        <v>0.42857142857142855</v>
      </c>
      <c r="F30">
        <f>0+3+5+6+11+18+9</f>
        <v>52</v>
      </c>
      <c r="G30">
        <f>19+8+6+13+5+7+4</f>
        <v>62</v>
      </c>
      <c r="H30">
        <f t="shared" si="1"/>
        <v>-10</v>
      </c>
      <c r="I30">
        <f>60</f>
        <v>60</v>
      </c>
      <c r="L30">
        <f t="shared" si="2"/>
        <v>30</v>
      </c>
      <c r="M30">
        <f t="shared" si="3"/>
        <v>0</v>
      </c>
      <c r="N30">
        <f>20</f>
        <v>20</v>
      </c>
      <c r="O30">
        <f t="shared" si="4"/>
        <v>110</v>
      </c>
    </row>
    <row r="31" spans="1:15" x14ac:dyDescent="0.35">
      <c r="A31" s="3" t="s">
        <v>95</v>
      </c>
      <c r="B31">
        <f>6</f>
        <v>6</v>
      </c>
      <c r="C31">
        <f>5</f>
        <v>5</v>
      </c>
      <c r="D31">
        <f>0</f>
        <v>0</v>
      </c>
      <c r="E31" s="2">
        <f t="shared" si="0"/>
        <v>0.54545454545454541</v>
      </c>
      <c r="F31">
        <f>0+6+10+13+15+11+14+4+5+16+6</f>
        <v>100</v>
      </c>
      <c r="G31">
        <f>5+8+0+3+2+10+8+11+7+7</f>
        <v>61</v>
      </c>
      <c r="H31">
        <f t="shared" si="1"/>
        <v>39</v>
      </c>
      <c r="I31">
        <f>60</f>
        <v>60</v>
      </c>
      <c r="K31">
        <f>40</f>
        <v>40</v>
      </c>
      <c r="L31">
        <f t="shared" si="2"/>
        <v>60</v>
      </c>
      <c r="M31">
        <f t="shared" si="3"/>
        <v>0</v>
      </c>
      <c r="N31">
        <f>30</f>
        <v>30</v>
      </c>
      <c r="O31">
        <f t="shared" si="4"/>
        <v>190</v>
      </c>
    </row>
    <row r="32" spans="1:15" x14ac:dyDescent="0.35">
      <c r="A32" s="3" t="s">
        <v>82</v>
      </c>
      <c r="B32">
        <f>1</f>
        <v>1</v>
      </c>
      <c r="C32">
        <f>17</f>
        <v>17</v>
      </c>
      <c r="D32">
        <f>0</f>
        <v>0</v>
      </c>
      <c r="E32" s="2">
        <f t="shared" si="0"/>
        <v>5.5555555555555552E-2</v>
      </c>
      <c r="F32">
        <f>5+7+7+6+19+4+3+0+6+6+0+6+4+17+5</f>
        <v>95</v>
      </c>
      <c r="G32">
        <f>16+20+18+7+46+14+11+15+17+16+8+13+12+11+14</f>
        <v>238</v>
      </c>
      <c r="H32">
        <f t="shared" si="1"/>
        <v>-143</v>
      </c>
      <c r="K32">
        <f>20</f>
        <v>20</v>
      </c>
      <c r="L32">
        <f t="shared" si="2"/>
        <v>10</v>
      </c>
      <c r="M32">
        <f t="shared" si="3"/>
        <v>0</v>
      </c>
      <c r="N32">
        <f>50</f>
        <v>50</v>
      </c>
      <c r="O32">
        <f t="shared" si="4"/>
        <v>80</v>
      </c>
    </row>
    <row r="33" spans="1:15" x14ac:dyDescent="0.35">
      <c r="A33" s="3" t="s">
        <v>180</v>
      </c>
      <c r="B33">
        <f>1+1+1+1+1+1+1+1+1+1</f>
        <v>10</v>
      </c>
      <c r="C33">
        <f>0+1+1+1+1+1+1+1+1</f>
        <v>8</v>
      </c>
      <c r="D33">
        <f>1</f>
        <v>1</v>
      </c>
      <c r="E33" s="2">
        <f t="shared" ref="E33:E34" si="26">(B33)/(B33+C33+D33)</f>
        <v>0.52631578947368418</v>
      </c>
      <c r="F33">
        <f>4+7+8+6+2+9+4+4+11+9+10+12+10+6+5+0+6+8+2</f>
        <v>123</v>
      </c>
      <c r="G33">
        <f>16+3+5+0+14+9+5+2+3+10+6+8+9+7+4+10+9+5+4</f>
        <v>129</v>
      </c>
      <c r="H33">
        <f t="shared" ref="H33:H34" si="27">F33-G33</f>
        <v>-6</v>
      </c>
      <c r="I33">
        <f>60+60+60</f>
        <v>180</v>
      </c>
      <c r="K33" t="b">
        <f>20+20=20</f>
        <v>0</v>
      </c>
      <c r="L33">
        <f t="shared" ref="L33:L34" si="28">B33*10</f>
        <v>100</v>
      </c>
      <c r="M33">
        <f t="shared" ref="M33:M34" si="29">D33*5</f>
        <v>5</v>
      </c>
      <c r="N33">
        <f>10+10+10+10+10</f>
        <v>50</v>
      </c>
      <c r="O33">
        <f t="shared" ref="O33:O34" si="30">SUM(I33:N33)</f>
        <v>335</v>
      </c>
    </row>
    <row r="34" spans="1:15" x14ac:dyDescent="0.35">
      <c r="A34" s="3" t="s">
        <v>193</v>
      </c>
      <c r="B34">
        <f>1+1</f>
        <v>2</v>
      </c>
      <c r="C34">
        <f>1</f>
        <v>1</v>
      </c>
      <c r="D34">
        <f>0</f>
        <v>0</v>
      </c>
      <c r="E34" s="2">
        <f t="shared" si="26"/>
        <v>0.66666666666666663</v>
      </c>
      <c r="F34">
        <f>13+5+8</f>
        <v>26</v>
      </c>
      <c r="G34">
        <f>4+10+6</f>
        <v>20</v>
      </c>
      <c r="H34">
        <f t="shared" si="27"/>
        <v>6</v>
      </c>
      <c r="I34">
        <f>60</f>
        <v>60</v>
      </c>
      <c r="L34">
        <f t="shared" si="28"/>
        <v>20</v>
      </c>
      <c r="M34">
        <f t="shared" si="29"/>
        <v>0</v>
      </c>
      <c r="N34">
        <f>10</f>
        <v>10</v>
      </c>
      <c r="O34">
        <f t="shared" si="30"/>
        <v>90</v>
      </c>
    </row>
    <row r="35" spans="1:15" x14ac:dyDescent="0.35">
      <c r="A35" s="3" t="s">
        <v>81</v>
      </c>
      <c r="B35">
        <f>5</f>
        <v>5</v>
      </c>
      <c r="C35">
        <f>6</f>
        <v>6</v>
      </c>
      <c r="D35">
        <f>0</f>
        <v>0</v>
      </c>
      <c r="E35" s="2">
        <f t="shared" si="0"/>
        <v>0.45454545454545453</v>
      </c>
      <c r="F35">
        <f>5+12+16+13+5+7+8+14+16+5+4</f>
        <v>105</v>
      </c>
      <c r="G35">
        <f>9+13+5+8+16+18+9+4+6+1+5</f>
        <v>94</v>
      </c>
      <c r="H35">
        <f t="shared" si="1"/>
        <v>11</v>
      </c>
      <c r="J35">
        <f>80</f>
        <v>80</v>
      </c>
      <c r="L35">
        <f t="shared" si="2"/>
        <v>50</v>
      </c>
      <c r="M35">
        <f t="shared" si="3"/>
        <v>0</v>
      </c>
      <c r="N35">
        <f>20</f>
        <v>20</v>
      </c>
      <c r="O35">
        <f t="shared" si="4"/>
        <v>150</v>
      </c>
    </row>
    <row r="36" spans="1:15" x14ac:dyDescent="0.35">
      <c r="A36" s="3" t="s">
        <v>47</v>
      </c>
      <c r="B36">
        <f>1</f>
        <v>1</v>
      </c>
      <c r="C36">
        <f>1+1</f>
        <v>2</v>
      </c>
      <c r="D36">
        <f>0</f>
        <v>0</v>
      </c>
      <c r="E36" s="2">
        <f t="shared" si="0"/>
        <v>0.33333333333333331</v>
      </c>
      <c r="F36">
        <f>18+4+4</f>
        <v>26</v>
      </c>
      <c r="G36">
        <f>4+13+12</f>
        <v>29</v>
      </c>
      <c r="H36">
        <f t="shared" si="1"/>
        <v>-3</v>
      </c>
      <c r="L36">
        <f t="shared" si="2"/>
        <v>10</v>
      </c>
      <c r="M36">
        <f t="shared" si="3"/>
        <v>0</v>
      </c>
      <c r="N36">
        <f>10</f>
        <v>10</v>
      </c>
      <c r="O36">
        <f t="shared" ref="O36" si="31">SUM(I36:N36)</f>
        <v>20</v>
      </c>
    </row>
    <row r="37" spans="1:15" x14ac:dyDescent="0.35">
      <c r="A37" s="3" t="s">
        <v>33</v>
      </c>
      <c r="B37">
        <f>10+1+1+1+1+1+1+1+1+1+1+1+1+1</f>
        <v>23</v>
      </c>
      <c r="C37">
        <f>8+1+1+1</f>
        <v>11</v>
      </c>
      <c r="D37">
        <f>2</f>
        <v>2</v>
      </c>
      <c r="E37" s="2">
        <f t="shared" si="0"/>
        <v>0.63888888888888884</v>
      </c>
      <c r="F37">
        <f>4+5+5+6+13+13+0+16+6+6+11+5+12+7+4+21+9+3+13+8+17+15+4+12+5+13+8+9+4+17+10+4+15+7+10+10</f>
        <v>327</v>
      </c>
      <c r="G37">
        <f>4+19+6+2+6+10+5+6+5+1+6+13+13+6+1+8+9+4+7+1+6+16+0+8+1+2+16+3+1+0+3+0+6+0+6</f>
        <v>200</v>
      </c>
      <c r="H37">
        <f t="shared" si="1"/>
        <v>127</v>
      </c>
      <c r="I37">
        <f>60+60+60</f>
        <v>180</v>
      </c>
      <c r="J37">
        <f>40+40</f>
        <v>80</v>
      </c>
      <c r="K37">
        <f>40+20</f>
        <v>60</v>
      </c>
      <c r="L37">
        <f t="shared" si="2"/>
        <v>230</v>
      </c>
      <c r="M37">
        <f t="shared" si="3"/>
        <v>10</v>
      </c>
      <c r="N37">
        <f>50+10+10+10+10</f>
        <v>90</v>
      </c>
      <c r="O37">
        <f t="shared" si="4"/>
        <v>650</v>
      </c>
    </row>
    <row r="38" spans="1:15" x14ac:dyDescent="0.35">
      <c r="A38" s="3" t="s">
        <v>266</v>
      </c>
      <c r="B38">
        <f>1</f>
        <v>1</v>
      </c>
      <c r="C38">
        <f>1+1+1</f>
        <v>3</v>
      </c>
      <c r="D38">
        <f>0</f>
        <v>0</v>
      </c>
      <c r="E38" s="2">
        <f t="shared" ref="E38" si="32">(B38)/(B38+C38+D38)</f>
        <v>0.25</v>
      </c>
      <c r="F38">
        <f>7+1+14+4</f>
        <v>26</v>
      </c>
      <c r="G38">
        <f>8+14+4+10</f>
        <v>36</v>
      </c>
      <c r="H38">
        <f t="shared" ref="H38" si="33">F38-G38</f>
        <v>-10</v>
      </c>
      <c r="L38">
        <f t="shared" ref="L38" si="34">B38*10</f>
        <v>10</v>
      </c>
      <c r="M38">
        <f t="shared" ref="M38" si="35">D38*5</f>
        <v>0</v>
      </c>
      <c r="N38">
        <f>10</f>
        <v>10</v>
      </c>
      <c r="O38">
        <f t="shared" ref="O38" si="36">SUM(I38:N38)</f>
        <v>20</v>
      </c>
    </row>
    <row r="39" spans="1:15" x14ac:dyDescent="0.35">
      <c r="A39" s="3" t="s">
        <v>51</v>
      </c>
      <c r="B39">
        <f>3+1+1</f>
        <v>5</v>
      </c>
      <c r="C39">
        <f>8+2+1+1+1</f>
        <v>13</v>
      </c>
      <c r="D39">
        <f>0</f>
        <v>0</v>
      </c>
      <c r="E39" s="2">
        <f t="shared" si="0"/>
        <v>0.27777777777777779</v>
      </c>
      <c r="F39">
        <f>8+4+4+4+14+10+8+3+20+4+13+2+7+5+5+4+4</f>
        <v>119</v>
      </c>
      <c r="G39">
        <f>12+6+14+9+11+7+17+4+8+18+6+15+18+8+8+2+19</f>
        <v>182</v>
      </c>
      <c r="H39">
        <f t="shared" si="1"/>
        <v>-63</v>
      </c>
      <c r="J39">
        <f>40</f>
        <v>40</v>
      </c>
      <c r="K39">
        <f>20</f>
        <v>20</v>
      </c>
      <c r="L39">
        <f t="shared" si="2"/>
        <v>50</v>
      </c>
      <c r="M39">
        <f t="shared" si="3"/>
        <v>0</v>
      </c>
      <c r="N39">
        <f>40+10</f>
        <v>50</v>
      </c>
      <c r="O39">
        <f t="shared" si="4"/>
        <v>160</v>
      </c>
    </row>
    <row r="40" spans="1:15" x14ac:dyDescent="0.35">
      <c r="A40" s="3" t="s">
        <v>50</v>
      </c>
      <c r="B40">
        <f>8+1+1+1+1+1+1+1</f>
        <v>15</v>
      </c>
      <c r="C40">
        <f>5+1</f>
        <v>6</v>
      </c>
      <c r="D40">
        <f>0</f>
        <v>0</v>
      </c>
      <c r="E40" s="2">
        <f t="shared" si="0"/>
        <v>0.7142857142857143</v>
      </c>
      <c r="F40">
        <f>13+15+12+6+6+9+5+7+5+7+4+7+3+17+14+19+8+10+14+10+6</f>
        <v>197</v>
      </c>
      <c r="G40">
        <f>3+4+1+5+18+5+8+6+12+4+6+5+5+2+2+4+4+5+1+4+10</f>
        <v>114</v>
      </c>
      <c r="H40">
        <f t="shared" si="1"/>
        <v>83</v>
      </c>
      <c r="I40">
        <f>60</f>
        <v>60</v>
      </c>
      <c r="J40">
        <f>120+40</f>
        <v>160</v>
      </c>
      <c r="L40">
        <f t="shared" si="2"/>
        <v>150</v>
      </c>
      <c r="M40">
        <f t="shared" si="3"/>
        <v>0</v>
      </c>
      <c r="N40">
        <f>30+10+10</f>
        <v>50</v>
      </c>
      <c r="O40">
        <f t="shared" si="4"/>
        <v>420</v>
      </c>
    </row>
    <row r="41" spans="1:15" x14ac:dyDescent="0.35">
      <c r="A41" s="3" t="s">
        <v>42</v>
      </c>
      <c r="B41">
        <f>9+1+1</f>
        <v>11</v>
      </c>
      <c r="C41">
        <f>4+1+1</f>
        <v>6</v>
      </c>
      <c r="D41">
        <f>0</f>
        <v>0</v>
      </c>
      <c r="E41" s="2">
        <f t="shared" si="0"/>
        <v>0.6470588235294118</v>
      </c>
      <c r="F41">
        <f>6+18+13+7+49+7+6+8+8+10+12+1+7+8+0</f>
        <v>160</v>
      </c>
      <c r="G41">
        <f>7+3+12+14+15+12+19+5+7+6+5+10+5+0+6</f>
        <v>126</v>
      </c>
      <c r="H41">
        <f t="shared" si="1"/>
        <v>34</v>
      </c>
      <c r="I41">
        <f>60</f>
        <v>60</v>
      </c>
      <c r="J41">
        <f>40</f>
        <v>40</v>
      </c>
      <c r="K41">
        <f>20</f>
        <v>20</v>
      </c>
      <c r="L41">
        <f t="shared" si="2"/>
        <v>110</v>
      </c>
      <c r="M41">
        <f t="shared" si="3"/>
        <v>0</v>
      </c>
      <c r="N41">
        <f>30+10</f>
        <v>40</v>
      </c>
      <c r="O41">
        <f t="shared" si="4"/>
        <v>270</v>
      </c>
    </row>
    <row r="42" spans="1:15" x14ac:dyDescent="0.35">
      <c r="A42" s="3" t="s">
        <v>224</v>
      </c>
      <c r="B42">
        <f>1+1+1+1+1+1+1</f>
        <v>7</v>
      </c>
      <c r="C42">
        <f>1+1</f>
        <v>2</v>
      </c>
      <c r="D42">
        <f>0</f>
        <v>0</v>
      </c>
      <c r="E42" s="2">
        <f t="shared" ref="E42" si="37">(B42)/(B42+C42+D42)</f>
        <v>0.77777777777777779</v>
      </c>
      <c r="F42">
        <f>4+13+12+16+16+12+8+15+8</f>
        <v>104</v>
      </c>
      <c r="G42">
        <f>10+4+4+2+9+5+6+4+12</f>
        <v>56</v>
      </c>
      <c r="H42">
        <f t="shared" ref="H42" si="38">F42-G42</f>
        <v>48</v>
      </c>
      <c r="I42">
        <f>60</f>
        <v>60</v>
      </c>
      <c r="J42">
        <f>40</f>
        <v>40</v>
      </c>
      <c r="L42">
        <f t="shared" ref="L42" si="39">B42*10</f>
        <v>70</v>
      </c>
      <c r="M42">
        <f t="shared" ref="M42" si="40">D42*5</f>
        <v>0</v>
      </c>
      <c r="N42">
        <f>10+10</f>
        <v>20</v>
      </c>
      <c r="O42">
        <f t="shared" ref="O42" si="41">SUM(I42:N42)</f>
        <v>190</v>
      </c>
    </row>
    <row r="43" spans="1:15" x14ac:dyDescent="0.35">
      <c r="A43" s="3" t="s">
        <v>61</v>
      </c>
      <c r="B43">
        <f>11</f>
        <v>11</v>
      </c>
      <c r="C43">
        <f>2</f>
        <v>2</v>
      </c>
      <c r="D43">
        <f>0</f>
        <v>0</v>
      </c>
      <c r="E43" s="2">
        <f t="shared" si="0"/>
        <v>0.84615384615384615</v>
      </c>
      <c r="F43">
        <f>6+11+8+10+12+2+14+14+4+10+13+5+5</f>
        <v>114</v>
      </c>
      <c r="G43">
        <f>5+3+3+0+3+14+3+7+8+2+0+4+4</f>
        <v>56</v>
      </c>
      <c r="H43">
        <f t="shared" si="1"/>
        <v>58</v>
      </c>
      <c r="I43">
        <f>120</f>
        <v>120</v>
      </c>
      <c r="L43">
        <f t="shared" si="2"/>
        <v>110</v>
      </c>
      <c r="M43">
        <f t="shared" si="3"/>
        <v>0</v>
      </c>
      <c r="N43">
        <f>30</f>
        <v>30</v>
      </c>
      <c r="O43">
        <f t="shared" si="4"/>
        <v>260</v>
      </c>
    </row>
    <row r="44" spans="1:15" x14ac:dyDescent="0.35">
      <c r="A44" s="3" t="s">
        <v>158</v>
      </c>
      <c r="B44">
        <f>1</f>
        <v>1</v>
      </c>
      <c r="C44">
        <f>3</f>
        <v>3</v>
      </c>
      <c r="D44">
        <f>0</f>
        <v>0</v>
      </c>
      <c r="E44" s="2">
        <f t="shared" si="0"/>
        <v>0.25</v>
      </c>
      <c r="F44">
        <f>5+4+8+5</f>
        <v>22</v>
      </c>
      <c r="G44">
        <f>6+4+11+11</f>
        <v>32</v>
      </c>
      <c r="H44">
        <f t="shared" si="1"/>
        <v>-10</v>
      </c>
      <c r="L44">
        <f t="shared" si="2"/>
        <v>10</v>
      </c>
      <c r="M44">
        <f t="shared" si="3"/>
        <v>0</v>
      </c>
      <c r="N44">
        <f>10</f>
        <v>10</v>
      </c>
      <c r="O44">
        <f t="shared" si="4"/>
        <v>20</v>
      </c>
    </row>
    <row r="45" spans="1:15" x14ac:dyDescent="0.35">
      <c r="A45" s="3" t="s">
        <v>69</v>
      </c>
      <c r="B45">
        <f>6+1+1+1+1+1+1+1</f>
        <v>13</v>
      </c>
      <c r="C45">
        <f>5</f>
        <v>5</v>
      </c>
      <c r="D45">
        <f>1</f>
        <v>1</v>
      </c>
      <c r="E45" s="2">
        <f t="shared" si="0"/>
        <v>0.68421052631578949</v>
      </c>
      <c r="F45">
        <f>7+9+6+4+12+0+4+7+11+7+13+4+10+12+9+8+14+15+11</f>
        <v>163</v>
      </c>
      <c r="G45">
        <f>7+8+5+8+19+21+19+3+5+12+13+1+0+3+4+2+1+1</f>
        <v>132</v>
      </c>
      <c r="H45">
        <f t="shared" si="1"/>
        <v>31</v>
      </c>
      <c r="I45">
        <f>60+60</f>
        <v>120</v>
      </c>
      <c r="J45">
        <f>40</f>
        <v>40</v>
      </c>
      <c r="K45">
        <f>20</f>
        <v>20</v>
      </c>
      <c r="L45">
        <f t="shared" si="2"/>
        <v>130</v>
      </c>
      <c r="M45">
        <f t="shared" si="3"/>
        <v>5</v>
      </c>
      <c r="N45">
        <f>30+10+10</f>
        <v>50</v>
      </c>
      <c r="O45">
        <f t="shared" si="4"/>
        <v>365</v>
      </c>
    </row>
    <row r="46" spans="1:15" x14ac:dyDescent="0.35">
      <c r="A46" s="3" t="s">
        <v>114</v>
      </c>
      <c r="B46">
        <f>5</f>
        <v>5</v>
      </c>
      <c r="C46">
        <f>0</f>
        <v>0</v>
      </c>
      <c r="D46">
        <f>0</f>
        <v>0</v>
      </c>
      <c r="E46" s="2">
        <f t="shared" si="0"/>
        <v>1</v>
      </c>
      <c r="F46">
        <f>18+19+10+9+12</f>
        <v>68</v>
      </c>
      <c r="G46">
        <f>4+0+8+8+6</f>
        <v>26</v>
      </c>
      <c r="H46">
        <f t="shared" si="1"/>
        <v>42</v>
      </c>
      <c r="I46">
        <f>60</f>
        <v>60</v>
      </c>
      <c r="L46">
        <f t="shared" si="2"/>
        <v>50</v>
      </c>
      <c r="M46">
        <f t="shared" si="3"/>
        <v>0</v>
      </c>
      <c r="N46">
        <f>10</f>
        <v>10</v>
      </c>
      <c r="O46">
        <f t="shared" si="4"/>
        <v>120</v>
      </c>
    </row>
    <row r="47" spans="1:15" x14ac:dyDescent="0.35">
      <c r="A47" s="3" t="s">
        <v>35</v>
      </c>
      <c r="B47">
        <f>6</f>
        <v>6</v>
      </c>
      <c r="C47">
        <f>11</f>
        <v>11</v>
      </c>
      <c r="D47">
        <f>1</f>
        <v>1</v>
      </c>
      <c r="E47" s="2">
        <f t="shared" si="0"/>
        <v>0.33333333333333331</v>
      </c>
      <c r="F47">
        <f>7+8+4+0+3+1+3+3+20+6+8+16+17+6+6+9+15+7</f>
        <v>139</v>
      </c>
      <c r="G47">
        <f>2+14+12+16+15+13+12+14+7+6+13+8+6+10+5+14+3+9</f>
        <v>179</v>
      </c>
      <c r="H47">
        <f t="shared" si="1"/>
        <v>-40</v>
      </c>
      <c r="J47">
        <f>40</f>
        <v>40</v>
      </c>
      <c r="K47">
        <f>40</f>
        <v>40</v>
      </c>
      <c r="L47">
        <v>20</v>
      </c>
      <c r="M47">
        <f t="shared" si="3"/>
        <v>5</v>
      </c>
      <c r="N47">
        <f>50</f>
        <v>50</v>
      </c>
      <c r="O47">
        <f t="shared" si="4"/>
        <v>155</v>
      </c>
    </row>
    <row r="48" spans="1:15" x14ac:dyDescent="0.35">
      <c r="A48" s="3" t="s">
        <v>194</v>
      </c>
      <c r="B48">
        <f>1+1+1+1+1+1</f>
        <v>6</v>
      </c>
      <c r="C48">
        <f>1+1+1+1+1+1+1</f>
        <v>7</v>
      </c>
      <c r="D48">
        <f>0</f>
        <v>0</v>
      </c>
      <c r="E48" s="2">
        <f t="shared" si="0"/>
        <v>0.46153846153846156</v>
      </c>
      <c r="F48">
        <f>4+8+7+11+11+16+1+1+4+1+8+9+19</f>
        <v>100</v>
      </c>
      <c r="G48">
        <f>7+4+9+1+12+4+11+6+5+8+5+6+4</f>
        <v>82</v>
      </c>
      <c r="H48">
        <f t="shared" si="1"/>
        <v>18</v>
      </c>
      <c r="I48">
        <f>60</f>
        <v>60</v>
      </c>
      <c r="J48">
        <f>40</f>
        <v>40</v>
      </c>
      <c r="K48">
        <f>20</f>
        <v>20</v>
      </c>
      <c r="L48">
        <f t="shared" ref="L48:L49" si="42">B48*10</f>
        <v>60</v>
      </c>
      <c r="M48">
        <f t="shared" si="3"/>
        <v>0</v>
      </c>
      <c r="N48">
        <f>10+10+10+10</f>
        <v>40</v>
      </c>
      <c r="O48">
        <f t="shared" si="4"/>
        <v>220</v>
      </c>
    </row>
    <row r="49" spans="1:15" x14ac:dyDescent="0.35">
      <c r="A49" s="3" t="s">
        <v>235</v>
      </c>
      <c r="B49">
        <f>1</f>
        <v>1</v>
      </c>
      <c r="C49">
        <f>1+1+1</f>
        <v>3</v>
      </c>
      <c r="D49">
        <f>0</f>
        <v>0</v>
      </c>
      <c r="E49" s="2">
        <f t="shared" ref="E49" si="43">(B49)/(B49+C49+D49)</f>
        <v>0.25</v>
      </c>
      <c r="F49">
        <f>12+5+11+0</f>
        <v>28</v>
      </c>
      <c r="G49">
        <f>9+13+10+15</f>
        <v>47</v>
      </c>
      <c r="H49">
        <f t="shared" ref="H49" si="44">F49-G49</f>
        <v>-19</v>
      </c>
      <c r="J49">
        <f>40</f>
        <v>40</v>
      </c>
      <c r="L49">
        <f t="shared" si="42"/>
        <v>10</v>
      </c>
      <c r="M49">
        <f t="shared" ref="M49" si="45">D49*5</f>
        <v>0</v>
      </c>
      <c r="N49">
        <f>10</f>
        <v>10</v>
      </c>
      <c r="O49">
        <f t="shared" ref="O49" si="46">SUM(I49:N49)</f>
        <v>60</v>
      </c>
    </row>
    <row r="50" spans="1:15" x14ac:dyDescent="0.35">
      <c r="A50" s="3" t="s">
        <v>59</v>
      </c>
      <c r="B50">
        <f>6</f>
        <v>6</v>
      </c>
      <c r="C50">
        <f>9</f>
        <v>9</v>
      </c>
      <c r="D50">
        <f>0</f>
        <v>0</v>
      </c>
      <c r="E50" s="2">
        <f t="shared" si="0"/>
        <v>0.4</v>
      </c>
      <c r="F50">
        <f>2+3+3+4+8+10+8+5+7+17+14+5+6+5+3</f>
        <v>100</v>
      </c>
      <c r="G50">
        <f>6+11+8+10+16+6+5+4+10+6+3+4+10+6+9</f>
        <v>114</v>
      </c>
      <c r="H50">
        <f t="shared" si="1"/>
        <v>-14</v>
      </c>
      <c r="I50">
        <f>120</f>
        <v>120</v>
      </c>
      <c r="K50">
        <f>20</f>
        <v>20</v>
      </c>
      <c r="L50">
        <f t="shared" ref="L50:L74" si="47">B50*10</f>
        <v>60</v>
      </c>
      <c r="M50">
        <f t="shared" si="3"/>
        <v>0</v>
      </c>
      <c r="N50">
        <f>40</f>
        <v>40</v>
      </c>
      <c r="O50">
        <f t="shared" si="4"/>
        <v>240</v>
      </c>
    </row>
    <row r="51" spans="1:15" x14ac:dyDescent="0.35">
      <c r="A51" s="3" t="s">
        <v>60</v>
      </c>
      <c r="B51">
        <f>2</f>
        <v>2</v>
      </c>
      <c r="C51">
        <f>9</f>
        <v>9</v>
      </c>
      <c r="D51">
        <f>0</f>
        <v>0</v>
      </c>
      <c r="E51" s="2">
        <f t="shared" si="0"/>
        <v>0.18181818181818182</v>
      </c>
      <c r="F51">
        <f>5+2+6+8+4+5+15+1+5+6+3</f>
        <v>60</v>
      </c>
      <c r="G51">
        <f>6+13+13+9+15+15+12+15+7+2+8</f>
        <v>115</v>
      </c>
      <c r="H51">
        <f t="shared" si="1"/>
        <v>-55</v>
      </c>
      <c r="K51">
        <f>20</f>
        <v>20</v>
      </c>
      <c r="L51">
        <f t="shared" si="47"/>
        <v>20</v>
      </c>
      <c r="M51">
        <f t="shared" si="3"/>
        <v>0</v>
      </c>
      <c r="N51">
        <f>30</f>
        <v>30</v>
      </c>
      <c r="O51">
        <f t="shared" si="4"/>
        <v>70</v>
      </c>
    </row>
    <row r="52" spans="1:15" x14ac:dyDescent="0.35">
      <c r="A52" s="3" t="s">
        <v>93</v>
      </c>
      <c r="B52">
        <f>1</f>
        <v>1</v>
      </c>
      <c r="C52">
        <f>4</f>
        <v>4</v>
      </c>
      <c r="D52">
        <f>0</f>
        <v>0</v>
      </c>
      <c r="E52" s="2">
        <f t="shared" si="0"/>
        <v>0.2</v>
      </c>
      <c r="F52">
        <f>4+8+4+19+5</f>
        <v>40</v>
      </c>
      <c r="G52">
        <f>7+10+14+7+12</f>
        <v>50</v>
      </c>
      <c r="H52">
        <f t="shared" si="1"/>
        <v>-10</v>
      </c>
      <c r="L52">
        <f t="shared" si="47"/>
        <v>10</v>
      </c>
      <c r="M52">
        <f t="shared" si="3"/>
        <v>0</v>
      </c>
      <c r="N52">
        <f>10</f>
        <v>10</v>
      </c>
      <c r="O52">
        <f t="shared" si="4"/>
        <v>20</v>
      </c>
    </row>
    <row r="53" spans="1:15" x14ac:dyDescent="0.35">
      <c r="A53" s="3" t="s">
        <v>48</v>
      </c>
      <c r="B53">
        <f>1+1+1+1</f>
        <v>4</v>
      </c>
      <c r="C53">
        <f>1+1+1</f>
        <v>3</v>
      </c>
      <c r="D53">
        <f>1</f>
        <v>1</v>
      </c>
      <c r="E53" s="2">
        <f t="shared" ref="E53" si="48">(B53)/(B53+C53+D53)</f>
        <v>0.5</v>
      </c>
      <c r="F53">
        <f>6+12+10+13+6+7+8+1</f>
        <v>63</v>
      </c>
      <c r="G53">
        <f>15+11+0+1+11+7+1+11</f>
        <v>57</v>
      </c>
      <c r="H53">
        <f t="shared" ref="H53" si="49">F53-G53</f>
        <v>6</v>
      </c>
      <c r="I53">
        <f>60</f>
        <v>60</v>
      </c>
      <c r="L53">
        <f t="shared" si="47"/>
        <v>40</v>
      </c>
      <c r="M53">
        <f t="shared" ref="M53" si="50">D53*5</f>
        <v>5</v>
      </c>
      <c r="N53">
        <f>10+10</f>
        <v>20</v>
      </c>
      <c r="O53">
        <f t="shared" ref="O53" si="51">SUM(I53:N53)</f>
        <v>125</v>
      </c>
    </row>
    <row r="54" spans="1:15" x14ac:dyDescent="0.35">
      <c r="A54" s="3" t="s">
        <v>70</v>
      </c>
      <c r="B54">
        <f>6+1+1+1</f>
        <v>9</v>
      </c>
      <c r="C54">
        <f>10+1</f>
        <v>11</v>
      </c>
      <c r="D54">
        <f>0</f>
        <v>0</v>
      </c>
      <c r="E54" s="2">
        <f t="shared" si="0"/>
        <v>0.45</v>
      </c>
      <c r="F54">
        <f>7+8+9+7+9+3+15+1+4+0+17+1+2+1+7+3+10+8+17+2</f>
        <v>131</v>
      </c>
      <c r="G54">
        <f>8+9+8+4+5+18+5+11+5+7+8+5+10+4+6+15+4+5+0+8</f>
        <v>145</v>
      </c>
      <c r="H54">
        <f t="shared" si="1"/>
        <v>-14</v>
      </c>
      <c r="I54">
        <f>60</f>
        <v>60</v>
      </c>
      <c r="K54">
        <f>20</f>
        <v>20</v>
      </c>
      <c r="L54">
        <f t="shared" si="47"/>
        <v>90</v>
      </c>
      <c r="M54">
        <f t="shared" si="3"/>
        <v>0</v>
      </c>
      <c r="N54">
        <f>40+10</f>
        <v>50</v>
      </c>
      <c r="O54">
        <f t="shared" si="4"/>
        <v>220</v>
      </c>
    </row>
    <row r="55" spans="1:15" x14ac:dyDescent="0.35">
      <c r="A55" s="3" t="s">
        <v>163</v>
      </c>
      <c r="B55">
        <f>1</f>
        <v>1</v>
      </c>
      <c r="C55">
        <f>2</f>
        <v>2</v>
      </c>
      <c r="D55">
        <f>0</f>
        <v>0</v>
      </c>
      <c r="E55" s="2">
        <f t="shared" si="0"/>
        <v>0.33333333333333331</v>
      </c>
      <c r="F55">
        <f>5+15+4</f>
        <v>24</v>
      </c>
      <c r="G55">
        <f>11+2+9</f>
        <v>22</v>
      </c>
      <c r="H55">
        <f t="shared" si="1"/>
        <v>2</v>
      </c>
      <c r="J55">
        <f>40</f>
        <v>40</v>
      </c>
      <c r="L55">
        <f t="shared" si="47"/>
        <v>10</v>
      </c>
      <c r="M55">
        <f>D54*5</f>
        <v>0</v>
      </c>
      <c r="N55">
        <f>10</f>
        <v>10</v>
      </c>
      <c r="O55">
        <f t="shared" si="4"/>
        <v>60</v>
      </c>
    </row>
    <row r="56" spans="1:15" x14ac:dyDescent="0.35">
      <c r="A56" s="3" t="s">
        <v>37</v>
      </c>
      <c r="B56">
        <f>7</f>
        <v>7</v>
      </c>
      <c r="C56">
        <f>1</f>
        <v>1</v>
      </c>
      <c r="D56">
        <f>0</f>
        <v>0</v>
      </c>
      <c r="E56" s="2">
        <f t="shared" ref="E56:E88" si="52">(B56)/(B56+C56+D56)</f>
        <v>0.875</v>
      </c>
      <c r="F56">
        <f>14+9+12+5+5+12+11+4</f>
        <v>72</v>
      </c>
      <c r="G56">
        <f>8+3+4+8+3+8+4+5</f>
        <v>43</v>
      </c>
      <c r="H56">
        <f t="shared" ref="H56:H88" si="53">F56-G56</f>
        <v>29</v>
      </c>
      <c r="I56">
        <f>60</f>
        <v>60</v>
      </c>
      <c r="J56">
        <f>40</f>
        <v>40</v>
      </c>
      <c r="L56">
        <f t="shared" si="47"/>
        <v>70</v>
      </c>
      <c r="M56">
        <f t="shared" ref="M56:M88" si="54">D56*5</f>
        <v>0</v>
      </c>
      <c r="N56">
        <f>20</f>
        <v>20</v>
      </c>
      <c r="O56">
        <f t="shared" ref="O56:O88" si="55">SUM(I56:N56)</f>
        <v>190</v>
      </c>
    </row>
    <row r="57" spans="1:15" x14ac:dyDescent="0.35">
      <c r="A57" s="3" t="s">
        <v>183</v>
      </c>
      <c r="B57">
        <f>1</f>
        <v>1</v>
      </c>
      <c r="C57">
        <f>1+1</f>
        <v>2</v>
      </c>
      <c r="D57">
        <f>0</f>
        <v>0</v>
      </c>
      <c r="E57" s="2">
        <f t="shared" si="52"/>
        <v>0.33333333333333331</v>
      </c>
      <c r="F57">
        <f>15+5+8</f>
        <v>28</v>
      </c>
      <c r="G57">
        <f>4+7+9</f>
        <v>20</v>
      </c>
      <c r="H57">
        <f t="shared" si="53"/>
        <v>8</v>
      </c>
      <c r="K57">
        <f>20</f>
        <v>20</v>
      </c>
      <c r="L57">
        <f t="shared" si="47"/>
        <v>10</v>
      </c>
      <c r="M57">
        <f t="shared" si="54"/>
        <v>0</v>
      </c>
      <c r="N57">
        <f>10</f>
        <v>10</v>
      </c>
      <c r="O57">
        <f t="shared" ref="O57" si="56">SUM(I57:N57)</f>
        <v>40</v>
      </c>
    </row>
    <row r="58" spans="1:15" x14ac:dyDescent="0.35">
      <c r="A58" s="3" t="s">
        <v>102</v>
      </c>
      <c r="B58">
        <f>3</f>
        <v>3</v>
      </c>
      <c r="C58">
        <f>2</f>
        <v>2</v>
      </c>
      <c r="D58">
        <f>0</f>
        <v>0</v>
      </c>
      <c r="E58" s="2">
        <f t="shared" si="52"/>
        <v>0.6</v>
      </c>
      <c r="F58">
        <f>32+8+3</f>
        <v>43</v>
      </c>
      <c r="G58">
        <f>18+7+14</f>
        <v>39</v>
      </c>
      <c r="H58">
        <f t="shared" si="53"/>
        <v>4</v>
      </c>
      <c r="J58">
        <f>40</f>
        <v>40</v>
      </c>
      <c r="L58">
        <f t="shared" si="47"/>
        <v>30</v>
      </c>
      <c r="M58">
        <f t="shared" si="54"/>
        <v>0</v>
      </c>
      <c r="N58">
        <f>10</f>
        <v>10</v>
      </c>
      <c r="O58">
        <f t="shared" si="55"/>
        <v>80</v>
      </c>
    </row>
    <row r="59" spans="1:15" x14ac:dyDescent="0.35">
      <c r="A59" s="3" t="s">
        <v>230</v>
      </c>
      <c r="B59">
        <f>1+1+1+1+1+1+1</f>
        <v>7</v>
      </c>
      <c r="C59">
        <f>1+1+1+1</f>
        <v>4</v>
      </c>
      <c r="D59">
        <f>0</f>
        <v>0</v>
      </c>
      <c r="E59" s="2">
        <f t="shared" si="52"/>
        <v>0.63636363636363635</v>
      </c>
      <c r="F59">
        <f>18+2+11+3+10+10+5+4+11+11+5</f>
        <v>90</v>
      </c>
      <c r="G59">
        <f>0+12+1+5+14+9+4+15+2+6+4</f>
        <v>72</v>
      </c>
      <c r="H59">
        <f t="shared" si="53"/>
        <v>18</v>
      </c>
      <c r="I59">
        <f>60</f>
        <v>60</v>
      </c>
      <c r="J59">
        <f>40</f>
        <v>40</v>
      </c>
      <c r="L59">
        <f t="shared" si="47"/>
        <v>70</v>
      </c>
      <c r="M59">
        <f t="shared" si="54"/>
        <v>0</v>
      </c>
      <c r="N59">
        <f>10+10+10</f>
        <v>30</v>
      </c>
      <c r="O59">
        <f t="shared" ref="O59" si="57">SUM(I59:N59)</f>
        <v>200</v>
      </c>
    </row>
    <row r="60" spans="1:15" x14ac:dyDescent="0.35">
      <c r="A60" s="3" t="s">
        <v>55</v>
      </c>
      <c r="B60">
        <f>10</f>
        <v>10</v>
      </c>
      <c r="C60">
        <f>6</f>
        <v>6</v>
      </c>
      <c r="D60">
        <f>1</f>
        <v>1</v>
      </c>
      <c r="E60" s="2">
        <f t="shared" si="52"/>
        <v>0.58823529411764708</v>
      </c>
      <c r="F60">
        <f>16+1+4+13+5+8+11+13+11+5+9+7+6+1+6+10+4</f>
        <v>130</v>
      </c>
      <c r="G60">
        <f>0+13+10+1+6+7+2+0+8+5+8+6+5+3+5+11+5</f>
        <v>95</v>
      </c>
      <c r="H60">
        <f t="shared" si="53"/>
        <v>35</v>
      </c>
      <c r="I60">
        <f>60</f>
        <v>60</v>
      </c>
      <c r="J60">
        <f>40</f>
        <v>40</v>
      </c>
      <c r="L60">
        <f t="shared" si="47"/>
        <v>100</v>
      </c>
      <c r="M60">
        <f t="shared" si="54"/>
        <v>5</v>
      </c>
      <c r="N60">
        <f>40</f>
        <v>40</v>
      </c>
      <c r="O60">
        <f t="shared" si="55"/>
        <v>245</v>
      </c>
    </row>
    <row r="61" spans="1:15" x14ac:dyDescent="0.35">
      <c r="A61" s="6" t="s">
        <v>68</v>
      </c>
      <c r="B61" s="4">
        <f>10</f>
        <v>10</v>
      </c>
      <c r="C61" s="4">
        <f>11</f>
        <v>11</v>
      </c>
      <c r="D61" s="4">
        <f>1</f>
        <v>1</v>
      </c>
      <c r="E61" s="5">
        <f t="shared" si="52"/>
        <v>0.45454545454545453</v>
      </c>
      <c r="F61" s="4">
        <f>7+8+0+9+1+6+31+7+11+15+12+15+3+7+0+4+12+9+8+2</f>
        <v>167</v>
      </c>
      <c r="G61" s="4">
        <f>7+3+13+8+7+7+32+8+14+0+13+5+14+5+13+7+7+4+6+0</f>
        <v>173</v>
      </c>
      <c r="H61" s="4">
        <f t="shared" si="53"/>
        <v>-6</v>
      </c>
      <c r="I61" s="4"/>
      <c r="J61" s="4">
        <f>40</f>
        <v>40</v>
      </c>
      <c r="K61" s="4">
        <f>20</f>
        <v>20</v>
      </c>
      <c r="L61" s="4">
        <f t="shared" si="47"/>
        <v>100</v>
      </c>
      <c r="M61" s="4">
        <f t="shared" si="54"/>
        <v>5</v>
      </c>
      <c r="N61" s="4">
        <f>60</f>
        <v>60</v>
      </c>
      <c r="O61" s="4">
        <f t="shared" si="55"/>
        <v>225</v>
      </c>
    </row>
    <row r="62" spans="1:15" x14ac:dyDescent="0.35">
      <c r="A62" s="3" t="s">
        <v>192</v>
      </c>
      <c r="B62">
        <f>1+1</f>
        <v>2</v>
      </c>
      <c r="C62">
        <f>1+1+1+1+1+1+1+1</f>
        <v>8</v>
      </c>
      <c r="D62">
        <f>0</f>
        <v>0</v>
      </c>
      <c r="E62" s="2">
        <f t="shared" si="52"/>
        <v>0.2</v>
      </c>
      <c r="F62">
        <f>0+4+8+6+1+12+1+1+0+5</f>
        <v>38</v>
      </c>
      <c r="G62">
        <f>12+8+7+8+17+9+13+15+10+10</f>
        <v>109</v>
      </c>
      <c r="H62">
        <f t="shared" si="53"/>
        <v>-71</v>
      </c>
      <c r="K62">
        <f>20</f>
        <v>20</v>
      </c>
      <c r="L62">
        <f t="shared" si="47"/>
        <v>20</v>
      </c>
      <c r="M62">
        <f t="shared" si="54"/>
        <v>0</v>
      </c>
      <c r="N62">
        <f>10+10+10</f>
        <v>30</v>
      </c>
      <c r="O62">
        <f t="shared" ref="O62" si="58">SUM(I62:N62)</f>
        <v>70</v>
      </c>
    </row>
    <row r="63" spans="1:15" x14ac:dyDescent="0.35">
      <c r="A63" s="3" t="s">
        <v>132</v>
      </c>
      <c r="B63">
        <f>4+1</f>
        <v>5</v>
      </c>
      <c r="C63">
        <f>3+1</f>
        <v>4</v>
      </c>
      <c r="D63">
        <f>1</f>
        <v>1</v>
      </c>
      <c r="E63" s="2">
        <f t="shared" si="52"/>
        <v>0.5</v>
      </c>
      <c r="F63">
        <f>8+14+6+12+17+11+7+9+4</f>
        <v>88</v>
      </c>
      <c r="G63">
        <f>14+9+7+8+5+15+4+9+19</f>
        <v>90</v>
      </c>
      <c r="H63">
        <f t="shared" si="53"/>
        <v>-2</v>
      </c>
      <c r="I63">
        <f>60</f>
        <v>60</v>
      </c>
      <c r="K63">
        <f>20</f>
        <v>20</v>
      </c>
      <c r="L63">
        <f t="shared" si="47"/>
        <v>50</v>
      </c>
      <c r="M63">
        <f t="shared" si="54"/>
        <v>5</v>
      </c>
      <c r="N63">
        <f>20+10</f>
        <v>30</v>
      </c>
      <c r="O63">
        <f t="shared" si="55"/>
        <v>165</v>
      </c>
    </row>
    <row r="64" spans="1:15" x14ac:dyDescent="0.35">
      <c r="A64" s="3"/>
      <c r="E64" s="2" t="e">
        <f t="shared" si="52"/>
        <v>#DIV/0!</v>
      </c>
      <c r="H64">
        <f t="shared" si="53"/>
        <v>0</v>
      </c>
      <c r="L64">
        <f t="shared" si="47"/>
        <v>0</v>
      </c>
      <c r="M64">
        <f t="shared" si="54"/>
        <v>0</v>
      </c>
      <c r="O64">
        <f t="shared" si="55"/>
        <v>0</v>
      </c>
    </row>
    <row r="65" spans="1:15" x14ac:dyDescent="0.35">
      <c r="A65" s="3"/>
      <c r="E65" t="e">
        <f t="shared" si="52"/>
        <v>#DIV/0!</v>
      </c>
      <c r="H65">
        <f t="shared" si="53"/>
        <v>0</v>
      </c>
      <c r="L65">
        <f t="shared" si="47"/>
        <v>0</v>
      </c>
      <c r="M65">
        <f t="shared" si="54"/>
        <v>0</v>
      </c>
      <c r="O65">
        <f t="shared" si="55"/>
        <v>0</v>
      </c>
    </row>
    <row r="66" spans="1:15" x14ac:dyDescent="0.35">
      <c r="E66" t="e">
        <f t="shared" si="52"/>
        <v>#DIV/0!</v>
      </c>
      <c r="H66">
        <f t="shared" si="53"/>
        <v>0</v>
      </c>
      <c r="L66">
        <f t="shared" si="47"/>
        <v>0</v>
      </c>
      <c r="M66">
        <f t="shared" si="54"/>
        <v>0</v>
      </c>
      <c r="O66">
        <f t="shared" si="55"/>
        <v>0</v>
      </c>
    </row>
    <row r="67" spans="1:15" x14ac:dyDescent="0.35">
      <c r="E67" t="e">
        <f t="shared" si="52"/>
        <v>#DIV/0!</v>
      </c>
      <c r="H67">
        <f t="shared" si="53"/>
        <v>0</v>
      </c>
      <c r="L67">
        <f t="shared" si="47"/>
        <v>0</v>
      </c>
      <c r="M67">
        <f t="shared" si="54"/>
        <v>0</v>
      </c>
      <c r="O67">
        <f t="shared" si="55"/>
        <v>0</v>
      </c>
    </row>
    <row r="68" spans="1:15" x14ac:dyDescent="0.35">
      <c r="E68" t="e">
        <f t="shared" si="52"/>
        <v>#DIV/0!</v>
      </c>
      <c r="H68">
        <f t="shared" si="53"/>
        <v>0</v>
      </c>
      <c r="L68">
        <f t="shared" si="47"/>
        <v>0</v>
      </c>
      <c r="M68">
        <f t="shared" si="54"/>
        <v>0</v>
      </c>
      <c r="O68">
        <f t="shared" si="55"/>
        <v>0</v>
      </c>
    </row>
    <row r="69" spans="1:15" x14ac:dyDescent="0.35">
      <c r="E69" t="e">
        <f t="shared" si="52"/>
        <v>#DIV/0!</v>
      </c>
      <c r="H69">
        <f t="shared" si="53"/>
        <v>0</v>
      </c>
      <c r="L69">
        <f t="shared" si="47"/>
        <v>0</v>
      </c>
      <c r="M69">
        <f t="shared" si="54"/>
        <v>0</v>
      </c>
      <c r="O69">
        <f t="shared" si="55"/>
        <v>0</v>
      </c>
    </row>
    <row r="70" spans="1:15" x14ac:dyDescent="0.35">
      <c r="E70" t="e">
        <f t="shared" si="52"/>
        <v>#DIV/0!</v>
      </c>
      <c r="H70">
        <f t="shared" si="53"/>
        <v>0</v>
      </c>
      <c r="L70">
        <f t="shared" si="47"/>
        <v>0</v>
      </c>
      <c r="M70">
        <f t="shared" si="54"/>
        <v>0</v>
      </c>
      <c r="O70">
        <f t="shared" si="55"/>
        <v>0</v>
      </c>
    </row>
    <row r="71" spans="1:15" x14ac:dyDescent="0.35">
      <c r="E71" t="e">
        <f t="shared" si="52"/>
        <v>#DIV/0!</v>
      </c>
      <c r="H71">
        <f t="shared" si="53"/>
        <v>0</v>
      </c>
      <c r="L71">
        <f t="shared" si="47"/>
        <v>0</v>
      </c>
      <c r="M71">
        <f t="shared" si="54"/>
        <v>0</v>
      </c>
      <c r="O71">
        <f t="shared" si="55"/>
        <v>0</v>
      </c>
    </row>
    <row r="72" spans="1:15" x14ac:dyDescent="0.35">
      <c r="E72" t="e">
        <f t="shared" si="52"/>
        <v>#DIV/0!</v>
      </c>
      <c r="H72">
        <f t="shared" si="53"/>
        <v>0</v>
      </c>
      <c r="L72">
        <f t="shared" si="47"/>
        <v>0</v>
      </c>
      <c r="M72">
        <f t="shared" si="54"/>
        <v>0</v>
      </c>
      <c r="O72">
        <f t="shared" si="55"/>
        <v>0</v>
      </c>
    </row>
    <row r="73" spans="1:15" x14ac:dyDescent="0.35">
      <c r="E73" t="e">
        <f t="shared" si="52"/>
        <v>#DIV/0!</v>
      </c>
      <c r="H73">
        <f t="shared" si="53"/>
        <v>0</v>
      </c>
      <c r="L73">
        <f t="shared" si="47"/>
        <v>0</v>
      </c>
      <c r="M73">
        <f t="shared" si="54"/>
        <v>0</v>
      </c>
      <c r="O73">
        <f t="shared" si="55"/>
        <v>0</v>
      </c>
    </row>
    <row r="74" spans="1:15" x14ac:dyDescent="0.35">
      <c r="E74" t="e">
        <f t="shared" si="52"/>
        <v>#DIV/0!</v>
      </c>
      <c r="H74">
        <f t="shared" si="53"/>
        <v>0</v>
      </c>
      <c r="L74">
        <f t="shared" si="47"/>
        <v>0</v>
      </c>
      <c r="M74">
        <f t="shared" si="54"/>
        <v>0</v>
      </c>
      <c r="O74">
        <f t="shared" si="55"/>
        <v>0</v>
      </c>
    </row>
    <row r="75" spans="1:15" x14ac:dyDescent="0.35">
      <c r="E75" t="e">
        <f t="shared" si="52"/>
        <v>#DIV/0!</v>
      </c>
      <c r="H75">
        <f t="shared" si="53"/>
        <v>0</v>
      </c>
      <c r="M75">
        <f t="shared" si="54"/>
        <v>0</v>
      </c>
      <c r="O75">
        <f t="shared" si="55"/>
        <v>0</v>
      </c>
    </row>
    <row r="76" spans="1:15" x14ac:dyDescent="0.35">
      <c r="E76" t="e">
        <f t="shared" si="52"/>
        <v>#DIV/0!</v>
      </c>
      <c r="H76">
        <f t="shared" si="53"/>
        <v>0</v>
      </c>
      <c r="M76">
        <f t="shared" si="54"/>
        <v>0</v>
      </c>
      <c r="O76">
        <f t="shared" si="55"/>
        <v>0</v>
      </c>
    </row>
    <row r="77" spans="1:15" x14ac:dyDescent="0.35">
      <c r="E77" t="e">
        <f t="shared" si="52"/>
        <v>#DIV/0!</v>
      </c>
      <c r="H77">
        <f t="shared" si="53"/>
        <v>0</v>
      </c>
      <c r="M77">
        <f t="shared" si="54"/>
        <v>0</v>
      </c>
      <c r="O77">
        <f t="shared" si="55"/>
        <v>0</v>
      </c>
    </row>
    <row r="78" spans="1:15" x14ac:dyDescent="0.35">
      <c r="E78" t="e">
        <f t="shared" si="52"/>
        <v>#DIV/0!</v>
      </c>
      <c r="H78">
        <f t="shared" si="53"/>
        <v>0</v>
      </c>
      <c r="M78">
        <f t="shared" si="54"/>
        <v>0</v>
      </c>
      <c r="O78">
        <f t="shared" si="55"/>
        <v>0</v>
      </c>
    </row>
    <row r="79" spans="1:15" x14ac:dyDescent="0.35">
      <c r="E79" t="e">
        <f t="shared" si="52"/>
        <v>#DIV/0!</v>
      </c>
      <c r="H79">
        <f t="shared" si="53"/>
        <v>0</v>
      </c>
      <c r="M79">
        <f t="shared" si="54"/>
        <v>0</v>
      </c>
      <c r="O79">
        <f t="shared" si="55"/>
        <v>0</v>
      </c>
    </row>
    <row r="80" spans="1:15" x14ac:dyDescent="0.35">
      <c r="E80" t="e">
        <f t="shared" si="52"/>
        <v>#DIV/0!</v>
      </c>
      <c r="H80">
        <f t="shared" si="53"/>
        <v>0</v>
      </c>
      <c r="M80">
        <f t="shared" si="54"/>
        <v>0</v>
      </c>
      <c r="O80">
        <f t="shared" si="55"/>
        <v>0</v>
      </c>
    </row>
    <row r="81" spans="5:15" x14ac:dyDescent="0.35">
      <c r="E81" t="e">
        <f t="shared" si="52"/>
        <v>#DIV/0!</v>
      </c>
      <c r="H81">
        <f t="shared" si="53"/>
        <v>0</v>
      </c>
      <c r="M81">
        <f t="shared" si="54"/>
        <v>0</v>
      </c>
      <c r="O81">
        <f t="shared" si="55"/>
        <v>0</v>
      </c>
    </row>
    <row r="82" spans="5:15" x14ac:dyDescent="0.35">
      <c r="E82" t="e">
        <f t="shared" si="52"/>
        <v>#DIV/0!</v>
      </c>
      <c r="H82">
        <f t="shared" si="53"/>
        <v>0</v>
      </c>
      <c r="M82">
        <f t="shared" si="54"/>
        <v>0</v>
      </c>
      <c r="O82">
        <f t="shared" si="55"/>
        <v>0</v>
      </c>
    </row>
    <row r="83" spans="5:15" x14ac:dyDescent="0.35">
      <c r="E83" t="e">
        <f t="shared" si="52"/>
        <v>#DIV/0!</v>
      </c>
      <c r="H83">
        <f t="shared" si="53"/>
        <v>0</v>
      </c>
      <c r="M83">
        <f t="shared" si="54"/>
        <v>0</v>
      </c>
      <c r="O83">
        <f t="shared" si="55"/>
        <v>0</v>
      </c>
    </row>
    <row r="84" spans="5:15" x14ac:dyDescent="0.35">
      <c r="E84" t="e">
        <f t="shared" si="52"/>
        <v>#DIV/0!</v>
      </c>
      <c r="H84">
        <f t="shared" si="53"/>
        <v>0</v>
      </c>
      <c r="M84">
        <f t="shared" si="54"/>
        <v>0</v>
      </c>
      <c r="O84">
        <f t="shared" si="55"/>
        <v>0</v>
      </c>
    </row>
    <row r="85" spans="5:15" x14ac:dyDescent="0.35">
      <c r="E85" t="e">
        <f t="shared" si="52"/>
        <v>#DIV/0!</v>
      </c>
      <c r="H85">
        <f t="shared" si="53"/>
        <v>0</v>
      </c>
      <c r="M85">
        <f t="shared" si="54"/>
        <v>0</v>
      </c>
      <c r="O85">
        <f t="shared" si="55"/>
        <v>0</v>
      </c>
    </row>
    <row r="86" spans="5:15" x14ac:dyDescent="0.35">
      <c r="E86" t="e">
        <f t="shared" si="52"/>
        <v>#DIV/0!</v>
      </c>
      <c r="H86">
        <f t="shared" si="53"/>
        <v>0</v>
      </c>
      <c r="M86">
        <f t="shared" si="54"/>
        <v>0</v>
      </c>
      <c r="O86">
        <f t="shared" si="55"/>
        <v>0</v>
      </c>
    </row>
    <row r="87" spans="5:15" x14ac:dyDescent="0.35">
      <c r="E87" t="e">
        <f t="shared" si="52"/>
        <v>#DIV/0!</v>
      </c>
      <c r="H87">
        <f t="shared" si="53"/>
        <v>0</v>
      </c>
      <c r="M87">
        <f t="shared" si="54"/>
        <v>0</v>
      </c>
      <c r="O87">
        <f t="shared" si="55"/>
        <v>0</v>
      </c>
    </row>
    <row r="88" spans="5:15" x14ac:dyDescent="0.35">
      <c r="E88" t="e">
        <f t="shared" si="52"/>
        <v>#DIV/0!</v>
      </c>
      <c r="H88">
        <f t="shared" si="53"/>
        <v>0</v>
      </c>
      <c r="M88">
        <f t="shared" si="54"/>
        <v>0</v>
      </c>
      <c r="O88">
        <f t="shared" si="55"/>
        <v>0</v>
      </c>
    </row>
  </sheetData>
  <sortState xmlns:xlrd2="http://schemas.microsoft.com/office/spreadsheetml/2017/richdata2" ref="A3:O81">
    <sortCondition ref="A42:A8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88"/>
  <sheetViews>
    <sheetView topLeftCell="A13" workbookViewId="0">
      <selection activeCell="H14" sqref="H14"/>
    </sheetView>
  </sheetViews>
  <sheetFormatPr defaultRowHeight="14.5" x14ac:dyDescent="0.35"/>
  <cols>
    <col min="1" max="1" width="27" customWidth="1"/>
  </cols>
  <sheetData>
    <row r="1" spans="1:27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" t="s">
        <v>20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35">
      <c r="A3" s="7" t="s">
        <v>174</v>
      </c>
      <c r="B3" s="8">
        <f>1+1+1</f>
        <v>3</v>
      </c>
      <c r="C3" s="8">
        <f>0+1+1+1</f>
        <v>3</v>
      </c>
      <c r="D3" s="8">
        <v>0</v>
      </c>
      <c r="E3" s="9">
        <f t="shared" ref="E3" si="0">(B3)/(B3+C3+D3)</f>
        <v>0.5</v>
      </c>
      <c r="F3" s="8">
        <f>6+1+7+0+11+12</f>
        <v>37</v>
      </c>
      <c r="G3" s="8">
        <f>3+15+10+18+4+1</f>
        <v>51</v>
      </c>
      <c r="H3" s="8">
        <f t="shared" ref="H3" si="1">F3-G3</f>
        <v>-14</v>
      </c>
      <c r="I3" s="8">
        <f>60</f>
        <v>60</v>
      </c>
      <c r="J3" s="8"/>
      <c r="K3" s="8"/>
      <c r="L3" s="8">
        <f>B3*10</f>
        <v>30</v>
      </c>
      <c r="M3" s="8">
        <f t="shared" ref="M3" si="2">D3*5</f>
        <v>0</v>
      </c>
      <c r="N3" s="8">
        <f>10+10</f>
        <v>20</v>
      </c>
      <c r="O3" s="8">
        <f t="shared" ref="O3" si="3">SUM(I3:N3)</f>
        <v>110</v>
      </c>
    </row>
    <row r="4" spans="1:27" x14ac:dyDescent="0.35">
      <c r="A4" s="7" t="s">
        <v>172</v>
      </c>
      <c r="B4" s="8">
        <f>1+1</f>
        <v>2</v>
      </c>
      <c r="C4" s="8">
        <f>0+1+1+1</f>
        <v>3</v>
      </c>
      <c r="D4" s="8">
        <v>0</v>
      </c>
      <c r="E4" s="9">
        <f t="shared" ref="E4" si="4">(B4)/(B4+C4+D4)</f>
        <v>0.4</v>
      </c>
      <c r="F4" s="8">
        <f>9+1+3+8+0</f>
        <v>21</v>
      </c>
      <c r="G4" s="8">
        <f>0+5+4+6+10</f>
        <v>25</v>
      </c>
      <c r="H4" s="8">
        <f t="shared" ref="H4" si="5">F4-G4</f>
        <v>-4</v>
      </c>
      <c r="I4" s="8"/>
      <c r="J4" s="8"/>
      <c r="K4" s="8">
        <f>20</f>
        <v>20</v>
      </c>
      <c r="L4" s="8">
        <f t="shared" ref="L4" si="6">B4*10</f>
        <v>20</v>
      </c>
      <c r="M4" s="8">
        <f t="shared" ref="M4" si="7">D4*5</f>
        <v>0</v>
      </c>
      <c r="N4" s="8">
        <f>10+10</f>
        <v>20</v>
      </c>
      <c r="O4" s="8">
        <f t="shared" ref="O4" si="8">SUM(I4:N4)</f>
        <v>60</v>
      </c>
    </row>
    <row r="5" spans="1:27" x14ac:dyDescent="0.35">
      <c r="A5" s="7" t="s">
        <v>176</v>
      </c>
      <c r="B5" s="8">
        <f>1+1</f>
        <v>2</v>
      </c>
      <c r="C5" s="8">
        <f>0</f>
        <v>0</v>
      </c>
      <c r="D5" s="8">
        <v>0</v>
      </c>
      <c r="E5" s="9">
        <f t="shared" ref="E5:E6" si="9">(B5)/(B5+C5+D5)</f>
        <v>1</v>
      </c>
      <c r="F5" s="8">
        <f>3+11</f>
        <v>14</v>
      </c>
      <c r="G5" s="8">
        <f>1+2</f>
        <v>3</v>
      </c>
      <c r="H5" s="8">
        <f t="shared" ref="H5:H6" si="10">F5-G5</f>
        <v>11</v>
      </c>
      <c r="I5" s="8">
        <f>60</f>
        <v>60</v>
      </c>
      <c r="J5" s="8"/>
      <c r="K5" s="8"/>
      <c r="L5" s="8">
        <f t="shared" ref="L5:L6" si="11">B5*10</f>
        <v>20</v>
      </c>
      <c r="M5" s="8">
        <f t="shared" ref="M5:M6" si="12">D5*5</f>
        <v>0</v>
      </c>
      <c r="N5" s="8">
        <f>10</f>
        <v>10</v>
      </c>
      <c r="O5" s="8">
        <f t="shared" ref="O5:O6" si="13">SUM(I5:N5)</f>
        <v>90</v>
      </c>
    </row>
    <row r="6" spans="1:27" x14ac:dyDescent="0.35">
      <c r="A6" s="7" t="s">
        <v>236</v>
      </c>
      <c r="B6" s="8">
        <f>1</f>
        <v>1</v>
      </c>
      <c r="C6" s="8">
        <f>1</f>
        <v>1</v>
      </c>
      <c r="D6" s="8">
        <f>1</f>
        <v>1</v>
      </c>
      <c r="E6" s="9">
        <f t="shared" si="9"/>
        <v>0.33333333333333331</v>
      </c>
      <c r="F6" s="8">
        <f>10+4+4</f>
        <v>18</v>
      </c>
      <c r="G6" s="8">
        <f>2+4+5</f>
        <v>11</v>
      </c>
      <c r="H6" s="8">
        <f t="shared" si="10"/>
        <v>7</v>
      </c>
      <c r="I6" s="8"/>
      <c r="J6" s="8">
        <f>40</f>
        <v>40</v>
      </c>
      <c r="K6" s="8"/>
      <c r="L6" s="8">
        <f t="shared" si="11"/>
        <v>10</v>
      </c>
      <c r="M6" s="8">
        <f t="shared" si="12"/>
        <v>5</v>
      </c>
      <c r="N6" s="8">
        <f>10</f>
        <v>10</v>
      </c>
      <c r="O6" s="8">
        <f t="shared" si="13"/>
        <v>65</v>
      </c>
    </row>
    <row r="7" spans="1:27" x14ac:dyDescent="0.35">
      <c r="A7" s="7" t="s">
        <v>152</v>
      </c>
      <c r="B7" s="8">
        <f>3</f>
        <v>3</v>
      </c>
      <c r="C7" s="8">
        <f>1</f>
        <v>1</v>
      </c>
      <c r="D7" s="8">
        <v>0</v>
      </c>
      <c r="E7" s="9">
        <f t="shared" ref="E7:E58" si="14">(B7)/(B7+C7+D7)</f>
        <v>0.75</v>
      </c>
      <c r="F7" s="8">
        <f>28+9+8+12</f>
        <v>57</v>
      </c>
      <c r="G7" s="8">
        <f>4+14+7+1</f>
        <v>26</v>
      </c>
      <c r="H7" s="8">
        <f t="shared" ref="H7:H58" si="15">F7-G7</f>
        <v>31</v>
      </c>
      <c r="I7" s="8">
        <v>60</v>
      </c>
      <c r="J7" s="8"/>
      <c r="K7" s="8"/>
      <c r="L7" s="8">
        <f t="shared" ref="L7:L74" si="16">B7*10</f>
        <v>30</v>
      </c>
      <c r="M7" s="8">
        <f t="shared" ref="M7:M58" si="17">D7*5</f>
        <v>0</v>
      </c>
      <c r="N7" s="8">
        <f>10</f>
        <v>10</v>
      </c>
      <c r="O7" s="8">
        <f t="shared" ref="O7:O58" si="18">SUM(I7:N7)</f>
        <v>100</v>
      </c>
    </row>
    <row r="8" spans="1:27" x14ac:dyDescent="0.35">
      <c r="A8" s="7" t="s">
        <v>100</v>
      </c>
      <c r="B8" s="8">
        <f>3</f>
        <v>3</v>
      </c>
      <c r="C8" s="8">
        <f>9</f>
        <v>9</v>
      </c>
      <c r="D8" s="8">
        <v>0</v>
      </c>
      <c r="E8" s="9">
        <f t="shared" si="14"/>
        <v>0.25</v>
      </c>
      <c r="F8" s="8">
        <f>4+7+8+0+3+1+4+7+14+0+6+7</f>
        <v>61</v>
      </c>
      <c r="G8" s="8">
        <f>7+15+14+13+4+18+10+11+6+5+9+6</f>
        <v>118</v>
      </c>
      <c r="H8" s="8">
        <f t="shared" si="15"/>
        <v>-57</v>
      </c>
      <c r="I8" s="8">
        <v>60</v>
      </c>
      <c r="J8" s="8"/>
      <c r="K8" s="8"/>
      <c r="L8" s="8">
        <f t="shared" si="16"/>
        <v>30</v>
      </c>
      <c r="M8" s="8">
        <f t="shared" si="17"/>
        <v>0</v>
      </c>
      <c r="N8" s="8">
        <f>30</f>
        <v>30</v>
      </c>
      <c r="O8" s="8">
        <f t="shared" si="18"/>
        <v>120</v>
      </c>
    </row>
    <row r="9" spans="1:27" x14ac:dyDescent="0.35">
      <c r="A9" s="7" t="s">
        <v>39</v>
      </c>
      <c r="B9" s="8">
        <f>9</f>
        <v>9</v>
      </c>
      <c r="C9" s="8">
        <f>4</f>
        <v>4</v>
      </c>
      <c r="D9" s="8">
        <v>0</v>
      </c>
      <c r="E9" s="9">
        <f t="shared" si="14"/>
        <v>0.69230769230769229</v>
      </c>
      <c r="F9" s="8">
        <f>14+1+10+3+9+10+4+13+8+3+4+8+17</f>
        <v>104</v>
      </c>
      <c r="G9" s="8">
        <f>0+5+1+8+5+3+3+9+7+5+11+14</f>
        <v>71</v>
      </c>
      <c r="H9" s="8">
        <f t="shared" si="15"/>
        <v>33</v>
      </c>
      <c r="I9" s="8"/>
      <c r="J9" s="8">
        <v>80</v>
      </c>
      <c r="K9" s="8">
        <v>20</v>
      </c>
      <c r="L9" s="8">
        <f t="shared" si="16"/>
        <v>90</v>
      </c>
      <c r="M9" s="8">
        <f t="shared" si="17"/>
        <v>0</v>
      </c>
      <c r="N9" s="8">
        <f>30</f>
        <v>30</v>
      </c>
      <c r="O9" s="8">
        <f t="shared" si="18"/>
        <v>220</v>
      </c>
    </row>
    <row r="10" spans="1:27" x14ac:dyDescent="0.35">
      <c r="A10" s="7" t="s">
        <v>131</v>
      </c>
      <c r="B10" s="8">
        <f>0</f>
        <v>0</v>
      </c>
      <c r="C10" s="8">
        <f>3</f>
        <v>3</v>
      </c>
      <c r="D10" s="8">
        <v>0</v>
      </c>
      <c r="E10" s="9">
        <f t="shared" si="14"/>
        <v>0</v>
      </c>
      <c r="F10" s="8">
        <f>5+4+6</f>
        <v>15</v>
      </c>
      <c r="G10" s="8">
        <f>6+13+13</f>
        <v>32</v>
      </c>
      <c r="H10" s="8">
        <f t="shared" si="15"/>
        <v>-17</v>
      </c>
      <c r="I10" s="8"/>
      <c r="J10" s="8"/>
      <c r="K10" s="8">
        <v>20</v>
      </c>
      <c r="L10" s="8">
        <f t="shared" si="16"/>
        <v>0</v>
      </c>
      <c r="M10" s="8">
        <f t="shared" si="17"/>
        <v>0</v>
      </c>
      <c r="N10" s="8">
        <f>10</f>
        <v>10</v>
      </c>
      <c r="O10" s="8">
        <f t="shared" si="18"/>
        <v>30</v>
      </c>
    </row>
    <row r="11" spans="1:27" x14ac:dyDescent="0.35">
      <c r="A11" s="10" t="s">
        <v>238</v>
      </c>
      <c r="B11" s="11">
        <f>1</f>
        <v>1</v>
      </c>
      <c r="C11" s="11">
        <f>1+1</f>
        <v>2</v>
      </c>
      <c r="D11" s="11">
        <v>0</v>
      </c>
      <c r="E11" s="12">
        <f t="shared" si="14"/>
        <v>0.33333333333333331</v>
      </c>
      <c r="F11" s="11">
        <f>6+7+0</f>
        <v>13</v>
      </c>
      <c r="G11" s="11">
        <f>2+8+7</f>
        <v>17</v>
      </c>
      <c r="H11" s="11">
        <f t="shared" si="15"/>
        <v>-4</v>
      </c>
      <c r="I11" s="11"/>
      <c r="J11" s="11"/>
      <c r="K11" s="11">
        <f>20</f>
        <v>20</v>
      </c>
      <c r="L11" s="11">
        <f t="shared" si="16"/>
        <v>10</v>
      </c>
      <c r="M11" s="11">
        <f t="shared" si="17"/>
        <v>0</v>
      </c>
      <c r="N11" s="11">
        <f>10</f>
        <v>10</v>
      </c>
      <c r="O11" s="11">
        <f t="shared" si="18"/>
        <v>40</v>
      </c>
    </row>
    <row r="12" spans="1:27" x14ac:dyDescent="0.35">
      <c r="A12" s="7" t="s">
        <v>125</v>
      </c>
      <c r="B12" s="8">
        <f>5</f>
        <v>5</v>
      </c>
      <c r="C12" s="8">
        <f>0</f>
        <v>0</v>
      </c>
      <c r="D12" s="8">
        <v>0</v>
      </c>
      <c r="E12" s="9">
        <f t="shared" si="14"/>
        <v>1</v>
      </c>
      <c r="F12" s="8">
        <f>7+16+15+5+6</f>
        <v>49</v>
      </c>
      <c r="G12" s="8">
        <f>3+6+4+4+4</f>
        <v>21</v>
      </c>
      <c r="H12" s="8">
        <f t="shared" si="15"/>
        <v>28</v>
      </c>
      <c r="I12" s="8">
        <v>60</v>
      </c>
      <c r="J12" s="8"/>
      <c r="K12" s="8"/>
      <c r="L12" s="8">
        <f t="shared" si="16"/>
        <v>50</v>
      </c>
      <c r="M12" s="8">
        <f t="shared" si="17"/>
        <v>0</v>
      </c>
      <c r="N12" s="8">
        <f>10</f>
        <v>10</v>
      </c>
      <c r="O12" s="8">
        <f t="shared" si="18"/>
        <v>120</v>
      </c>
    </row>
    <row r="13" spans="1:27" x14ac:dyDescent="0.35">
      <c r="A13" s="7" t="s">
        <v>168</v>
      </c>
      <c r="B13" s="8">
        <f>3</f>
        <v>3</v>
      </c>
      <c r="C13" s="8">
        <f>1</f>
        <v>1</v>
      </c>
      <c r="D13" s="8">
        <f>0</f>
        <v>0</v>
      </c>
      <c r="E13" s="9">
        <f t="shared" si="14"/>
        <v>0.75</v>
      </c>
      <c r="F13" s="8">
        <f>4+8+9+3</f>
        <v>24</v>
      </c>
      <c r="G13" s="8">
        <f>1+4+4+7</f>
        <v>16</v>
      </c>
      <c r="H13" s="8">
        <f t="shared" si="15"/>
        <v>8</v>
      </c>
      <c r="I13" s="8"/>
      <c r="J13" s="8"/>
      <c r="K13" s="8">
        <f>20</f>
        <v>20</v>
      </c>
      <c r="L13" s="8">
        <f t="shared" si="16"/>
        <v>30</v>
      </c>
      <c r="M13" s="8">
        <f t="shared" si="17"/>
        <v>0</v>
      </c>
      <c r="N13" s="8">
        <f>10</f>
        <v>10</v>
      </c>
      <c r="O13" s="8">
        <f t="shared" si="18"/>
        <v>60</v>
      </c>
    </row>
    <row r="14" spans="1:27" x14ac:dyDescent="0.35">
      <c r="A14" s="7" t="s">
        <v>91</v>
      </c>
      <c r="B14" s="11">
        <f>1+1+1+1+1+1</f>
        <v>6</v>
      </c>
      <c r="C14" s="11">
        <f>0</f>
        <v>0</v>
      </c>
      <c r="D14" s="11">
        <f>0</f>
        <v>0</v>
      </c>
      <c r="E14" s="9">
        <f t="shared" ref="E14" si="19">(B14)/(B14+C14+D14)</f>
        <v>1</v>
      </c>
      <c r="F14" s="8">
        <f>10+16+6+8+14+4</f>
        <v>58</v>
      </c>
      <c r="G14" s="8">
        <f>1+1+2+6+2+0</f>
        <v>12</v>
      </c>
      <c r="H14" s="8">
        <f>F14-G14</f>
        <v>46</v>
      </c>
      <c r="I14" s="8">
        <f>60</f>
        <v>60</v>
      </c>
      <c r="J14" s="8"/>
      <c r="K14" s="8"/>
      <c r="L14" s="8">
        <f t="shared" ref="L14" si="20">B14*10</f>
        <v>60</v>
      </c>
      <c r="M14" s="8">
        <f t="shared" ref="M14" si="21">D14*5</f>
        <v>0</v>
      </c>
      <c r="N14" s="8">
        <f>10</f>
        <v>10</v>
      </c>
      <c r="O14" s="8">
        <f t="shared" ref="O14" si="22">SUM(I14:N14)</f>
        <v>130</v>
      </c>
    </row>
    <row r="15" spans="1:27" x14ac:dyDescent="0.35">
      <c r="A15" s="10" t="s">
        <v>200</v>
      </c>
      <c r="B15" s="11">
        <f>1+1+1+1+1+1+1+1+1+1+1+1+1</f>
        <v>13</v>
      </c>
      <c r="C15" s="11">
        <f>1+1+1+1+1+1</f>
        <v>6</v>
      </c>
      <c r="D15" s="11">
        <f>1</f>
        <v>1</v>
      </c>
      <c r="E15" s="12">
        <f t="shared" si="14"/>
        <v>0.65</v>
      </c>
      <c r="F15" s="11">
        <f>9+19+17+6+13+6+7+0+8+4+11+5+11+28+7+9+6+10+2+4</f>
        <v>182</v>
      </c>
      <c r="G15" s="11">
        <f>8+0+2+15+1+8+2+8+3+4+3+4+2+2+0+7+14+1+6+5</f>
        <v>95</v>
      </c>
      <c r="H15" s="11">
        <f t="shared" si="15"/>
        <v>87</v>
      </c>
      <c r="I15" s="11">
        <f>60+60</f>
        <v>120</v>
      </c>
      <c r="J15" s="11">
        <f>40+40</f>
        <v>80</v>
      </c>
      <c r="K15" s="11">
        <f>20</f>
        <v>20</v>
      </c>
      <c r="L15" s="11">
        <f t="shared" si="16"/>
        <v>130</v>
      </c>
      <c r="M15" s="11">
        <f t="shared" si="17"/>
        <v>5</v>
      </c>
      <c r="N15" s="11">
        <f>10+10+10+10+10</f>
        <v>50</v>
      </c>
      <c r="O15" s="11">
        <f t="shared" si="18"/>
        <v>405</v>
      </c>
    </row>
    <row r="16" spans="1:27" x14ac:dyDescent="0.35">
      <c r="A16" s="7" t="s">
        <v>151</v>
      </c>
      <c r="B16" s="8">
        <f>2</f>
        <v>2</v>
      </c>
      <c r="C16" s="8">
        <f>1</f>
        <v>1</v>
      </c>
      <c r="D16" s="8">
        <v>0</v>
      </c>
      <c r="E16" s="9">
        <f t="shared" si="14"/>
        <v>0.66666666666666663</v>
      </c>
      <c r="F16" s="8">
        <f>7+8+2</f>
        <v>17</v>
      </c>
      <c r="G16" s="8">
        <f>20+4+7</f>
        <v>31</v>
      </c>
      <c r="H16" s="8">
        <f t="shared" si="15"/>
        <v>-14</v>
      </c>
      <c r="I16" s="8"/>
      <c r="J16" s="8"/>
      <c r="K16" s="8">
        <v>20</v>
      </c>
      <c r="L16" s="8">
        <f t="shared" si="16"/>
        <v>20</v>
      </c>
      <c r="M16" s="8">
        <f t="shared" si="17"/>
        <v>0</v>
      </c>
      <c r="N16" s="8">
        <f>10</f>
        <v>10</v>
      </c>
      <c r="O16" s="8">
        <f t="shared" si="18"/>
        <v>50</v>
      </c>
    </row>
    <row r="17" spans="1:15" x14ac:dyDescent="0.35">
      <c r="A17" s="7" t="s">
        <v>149</v>
      </c>
      <c r="B17" s="8">
        <f>2</f>
        <v>2</v>
      </c>
      <c r="C17" s="8">
        <f>1</f>
        <v>1</v>
      </c>
      <c r="D17" s="8">
        <v>0</v>
      </c>
      <c r="E17" s="9">
        <f t="shared" si="14"/>
        <v>0.66666666666666663</v>
      </c>
      <c r="F17" s="8">
        <f>7+13+2</f>
        <v>22</v>
      </c>
      <c r="G17" s="8">
        <f>5+4+6</f>
        <v>15</v>
      </c>
      <c r="H17" s="8">
        <f t="shared" si="15"/>
        <v>7</v>
      </c>
      <c r="I17" s="8"/>
      <c r="J17" s="8">
        <v>40</v>
      </c>
      <c r="K17" s="8"/>
      <c r="L17" s="8">
        <f t="shared" si="16"/>
        <v>20</v>
      </c>
      <c r="M17" s="8">
        <f t="shared" si="17"/>
        <v>0</v>
      </c>
      <c r="N17" s="8">
        <f>10</f>
        <v>10</v>
      </c>
      <c r="O17" s="8">
        <f t="shared" si="18"/>
        <v>70</v>
      </c>
    </row>
    <row r="18" spans="1:15" x14ac:dyDescent="0.35">
      <c r="A18" s="10" t="s">
        <v>58</v>
      </c>
      <c r="B18" s="11">
        <f>1+1</f>
        <v>2</v>
      </c>
      <c r="C18" s="11">
        <f>1+1+1+1</f>
        <v>4</v>
      </c>
      <c r="D18" s="11">
        <v>0</v>
      </c>
      <c r="E18" s="12">
        <f t="shared" ref="E18" si="23">(B18)/(B18+C18+D18)</f>
        <v>0.33333333333333331</v>
      </c>
      <c r="F18" s="11">
        <f>8+9+10+5+1+0</f>
        <v>33</v>
      </c>
      <c r="G18" s="11">
        <f>9+1+12+2+7+22</f>
        <v>53</v>
      </c>
      <c r="H18" s="11">
        <f t="shared" ref="H18" si="24">F18-G18</f>
        <v>-20</v>
      </c>
      <c r="I18" s="11"/>
      <c r="J18" s="11"/>
      <c r="K18" s="11">
        <f>20+20</f>
        <v>40</v>
      </c>
      <c r="L18" s="11">
        <f t="shared" ref="L18" si="25">B18*10</f>
        <v>20</v>
      </c>
      <c r="M18" s="11">
        <f t="shared" ref="M18" si="26">D18*5</f>
        <v>0</v>
      </c>
      <c r="N18" s="11">
        <f>10+10</f>
        <v>20</v>
      </c>
      <c r="O18" s="11">
        <f t="shared" ref="O18" si="27">SUM(I18:N18)</f>
        <v>80</v>
      </c>
    </row>
    <row r="19" spans="1:15" x14ac:dyDescent="0.35">
      <c r="A19" s="10" t="s">
        <v>63</v>
      </c>
      <c r="B19" s="11">
        <f>8+1+1+1+1+1</f>
        <v>13</v>
      </c>
      <c r="C19" s="11">
        <f>3+15+1+1</f>
        <v>20</v>
      </c>
      <c r="D19" s="11">
        <f>1</f>
        <v>1</v>
      </c>
      <c r="E19" s="12">
        <f t="shared" si="14"/>
        <v>0.38235294117647056</v>
      </c>
      <c r="F19" s="11">
        <f>11+6+5+4+4+8+14+6+2+1+2+9+4+0+15+13+3+5+0+6+2+12+2+9+4+10+4+1+13+8+5+6+12+20</f>
        <v>226</v>
      </c>
      <c r="G19" s="11">
        <f>10+11+1+11+19+6+3+5+19+15+17+10+3+14+6+1+15+6+10+14+5+1+12+8+8+11+6+13+3+6+6+6+5+0</f>
        <v>286</v>
      </c>
      <c r="H19" s="11">
        <f t="shared" si="15"/>
        <v>-60</v>
      </c>
      <c r="I19" s="11">
        <f>60</f>
        <v>60</v>
      </c>
      <c r="J19" s="11">
        <f>40+40</f>
        <v>80</v>
      </c>
      <c r="K19" s="11">
        <f>20+60</f>
        <v>80</v>
      </c>
      <c r="L19" s="11">
        <f t="shared" si="16"/>
        <v>130</v>
      </c>
      <c r="M19" s="11">
        <f t="shared" si="17"/>
        <v>5</v>
      </c>
      <c r="N19" s="11">
        <f>10+60+10+10</f>
        <v>90</v>
      </c>
      <c r="O19" s="11">
        <f t="shared" si="18"/>
        <v>445</v>
      </c>
    </row>
    <row r="20" spans="1:15" x14ac:dyDescent="0.35">
      <c r="A20" s="10" t="s">
        <v>40</v>
      </c>
      <c r="B20" s="11">
        <f>7</f>
        <v>7</v>
      </c>
      <c r="C20" s="11">
        <f>2</f>
        <v>2</v>
      </c>
      <c r="D20" s="11">
        <v>0</v>
      </c>
      <c r="E20" s="12">
        <f t="shared" si="14"/>
        <v>0.77777777777777779</v>
      </c>
      <c r="F20" s="11">
        <f>6+5+14+8+9+16+7+8+15</f>
        <v>88</v>
      </c>
      <c r="G20" s="11">
        <f>0+1+1+3+17+5+9+3+5</f>
        <v>44</v>
      </c>
      <c r="H20" s="11">
        <f t="shared" si="15"/>
        <v>44</v>
      </c>
      <c r="I20" s="11">
        <v>120</v>
      </c>
      <c r="J20" s="11"/>
      <c r="K20" s="11"/>
      <c r="L20" s="11">
        <f t="shared" si="16"/>
        <v>70</v>
      </c>
      <c r="M20" s="11">
        <f t="shared" si="17"/>
        <v>0</v>
      </c>
      <c r="N20" s="11">
        <f>20</f>
        <v>20</v>
      </c>
      <c r="O20" s="11">
        <f t="shared" si="18"/>
        <v>210</v>
      </c>
    </row>
    <row r="21" spans="1:15" x14ac:dyDescent="0.35">
      <c r="A21" s="10" t="s">
        <v>171</v>
      </c>
      <c r="B21" s="11">
        <f>5</f>
        <v>5</v>
      </c>
      <c r="C21" s="11">
        <f>0</f>
        <v>0</v>
      </c>
      <c r="D21" s="11">
        <f>0</f>
        <v>0</v>
      </c>
      <c r="E21" s="12">
        <f t="shared" si="14"/>
        <v>1</v>
      </c>
      <c r="F21" s="11">
        <f>20+16+21+13+4</f>
        <v>74</v>
      </c>
      <c r="G21" s="11">
        <f>2+0+3+0+2</f>
        <v>7</v>
      </c>
      <c r="H21" s="11">
        <f t="shared" si="15"/>
        <v>67</v>
      </c>
      <c r="I21" s="11">
        <f>60</f>
        <v>60</v>
      </c>
      <c r="J21" s="11"/>
      <c r="K21" s="11"/>
      <c r="L21" s="11">
        <f t="shared" si="16"/>
        <v>50</v>
      </c>
      <c r="M21" s="11">
        <f t="shared" si="17"/>
        <v>0</v>
      </c>
      <c r="N21" s="11">
        <f>10</f>
        <v>10</v>
      </c>
      <c r="O21" s="11">
        <f t="shared" si="18"/>
        <v>120</v>
      </c>
    </row>
    <row r="22" spans="1:15" x14ac:dyDescent="0.35">
      <c r="A22" s="10" t="s">
        <v>38</v>
      </c>
      <c r="B22" s="11">
        <f>4+1</f>
        <v>5</v>
      </c>
      <c r="C22" s="11">
        <f>4+3</f>
        <v>7</v>
      </c>
      <c r="D22" s="11">
        <v>2</v>
      </c>
      <c r="E22" s="12">
        <f t="shared" si="14"/>
        <v>0.35714285714285715</v>
      </c>
      <c r="F22" s="11">
        <f>0+3+1+6+4+12+6+8+5+2+0+11+18+7</f>
        <v>83</v>
      </c>
      <c r="G22" s="11">
        <f>6+3+10+5+7+5+6+5+2+4+16+12+8+8</f>
        <v>97</v>
      </c>
      <c r="H22" s="11">
        <f t="shared" si="15"/>
        <v>-14</v>
      </c>
      <c r="I22" s="11">
        <v>60</v>
      </c>
      <c r="J22" s="11"/>
      <c r="K22" s="11">
        <v>20</v>
      </c>
      <c r="L22" s="11">
        <f t="shared" si="16"/>
        <v>50</v>
      </c>
      <c r="M22" s="11">
        <f t="shared" si="17"/>
        <v>10</v>
      </c>
      <c r="N22" s="11">
        <f>10+30</f>
        <v>40</v>
      </c>
      <c r="O22" s="11">
        <f t="shared" si="18"/>
        <v>180</v>
      </c>
    </row>
    <row r="23" spans="1:15" x14ac:dyDescent="0.35">
      <c r="A23" s="10" t="s">
        <v>31</v>
      </c>
      <c r="B23" s="11">
        <f>14</f>
        <v>14</v>
      </c>
      <c r="C23" s="11">
        <f>2</f>
        <v>2</v>
      </c>
      <c r="D23" s="11">
        <v>0</v>
      </c>
      <c r="E23" s="12">
        <f t="shared" si="14"/>
        <v>0.875</v>
      </c>
      <c r="F23" s="11">
        <f>4+6+12+6+15+9+10+13+9+9+19+5+5+21+20+6</f>
        <v>169</v>
      </c>
      <c r="G23" s="11">
        <f>2+3+0+4+1+6+0+5+5+7+2+15+7+5+2+2</f>
        <v>66</v>
      </c>
      <c r="H23" s="11">
        <f t="shared" si="15"/>
        <v>103</v>
      </c>
      <c r="I23" s="11">
        <v>180</v>
      </c>
      <c r="J23" s="11">
        <v>40</v>
      </c>
      <c r="K23" s="11"/>
      <c r="L23" s="11">
        <f t="shared" si="16"/>
        <v>140</v>
      </c>
      <c r="M23" s="11">
        <f t="shared" si="17"/>
        <v>0</v>
      </c>
      <c r="N23" s="11">
        <f>40</f>
        <v>40</v>
      </c>
      <c r="O23" s="11">
        <f t="shared" si="18"/>
        <v>400</v>
      </c>
    </row>
    <row r="24" spans="1:15" x14ac:dyDescent="0.35">
      <c r="A24" s="10" t="s">
        <v>212</v>
      </c>
      <c r="B24" s="11">
        <f>1+1+1+1</f>
        <v>4</v>
      </c>
      <c r="C24" s="11">
        <f>1+1+1+1+1+1+1+1</f>
        <v>8</v>
      </c>
      <c r="D24" s="11">
        <f>1</f>
        <v>1</v>
      </c>
      <c r="E24" s="12">
        <f t="shared" si="14"/>
        <v>0.30769230769230771</v>
      </c>
      <c r="F24" s="11">
        <f>9+4+5+10+6+8+1+15+6+0+8+2+3</f>
        <v>77</v>
      </c>
      <c r="G24" s="11">
        <f>8+19+6+7+8+4+12+5+6+15+5+17+17</f>
        <v>129</v>
      </c>
      <c r="H24" s="11">
        <f t="shared" si="15"/>
        <v>-52</v>
      </c>
      <c r="I24" s="11"/>
      <c r="J24" s="11">
        <f>40</f>
        <v>40</v>
      </c>
      <c r="K24" s="11">
        <f>20+20</f>
        <v>40</v>
      </c>
      <c r="L24" s="11">
        <f t="shared" si="16"/>
        <v>40</v>
      </c>
      <c r="M24" s="11">
        <f t="shared" si="17"/>
        <v>5</v>
      </c>
      <c r="N24" s="11">
        <f>10+10+10+10</f>
        <v>40</v>
      </c>
      <c r="O24" s="11">
        <f t="shared" si="18"/>
        <v>165</v>
      </c>
    </row>
    <row r="25" spans="1:15" x14ac:dyDescent="0.35">
      <c r="A25" s="7" t="s">
        <v>175</v>
      </c>
      <c r="B25" s="8">
        <f>1+1+1</f>
        <v>3</v>
      </c>
      <c r="C25" s="8">
        <f>0+1+1+1+1+1+1+1+1+1+1+1+1+1</f>
        <v>13</v>
      </c>
      <c r="D25" s="8">
        <v>0</v>
      </c>
      <c r="E25" s="9">
        <f t="shared" si="14"/>
        <v>0.1875</v>
      </c>
      <c r="F25" s="8">
        <f>15+2+0+1+8+2+0+11+1+10+7+1+1+13+14+2</f>
        <v>88</v>
      </c>
      <c r="G25" s="8">
        <f>1+11+19+9+9+5+10+12+13+8+9+16+10+14+0+14</f>
        <v>160</v>
      </c>
      <c r="H25" s="8">
        <f t="shared" si="15"/>
        <v>-72</v>
      </c>
      <c r="I25" s="8"/>
      <c r="J25" s="8"/>
      <c r="K25" s="8">
        <f>20</f>
        <v>20</v>
      </c>
      <c r="L25" s="8">
        <f t="shared" si="16"/>
        <v>30</v>
      </c>
      <c r="M25" s="8">
        <f t="shared" si="17"/>
        <v>0</v>
      </c>
      <c r="N25" s="8">
        <f>10+10+10+10+10</f>
        <v>50</v>
      </c>
      <c r="O25" s="8">
        <f t="shared" si="18"/>
        <v>100</v>
      </c>
    </row>
    <row r="26" spans="1:15" x14ac:dyDescent="0.35">
      <c r="A26" s="10" t="s">
        <v>72</v>
      </c>
      <c r="B26" s="11">
        <f>1+1+1</f>
        <v>3</v>
      </c>
      <c r="C26" s="11">
        <f>1+1+1+1</f>
        <v>4</v>
      </c>
      <c r="D26" s="11">
        <v>0</v>
      </c>
      <c r="E26" s="12">
        <f t="shared" si="14"/>
        <v>0.42857142857142855</v>
      </c>
      <c r="F26" s="11">
        <f>4+8+2+19+0+10+4</f>
        <v>47</v>
      </c>
      <c r="G26" s="11">
        <f>20+6+7+1+7+4+11</f>
        <v>56</v>
      </c>
      <c r="H26" s="11">
        <f t="shared" si="15"/>
        <v>-9</v>
      </c>
      <c r="I26" s="11"/>
      <c r="J26" s="11">
        <f>40</f>
        <v>40</v>
      </c>
      <c r="K26" s="11">
        <f>20</f>
        <v>20</v>
      </c>
      <c r="L26" s="11">
        <f t="shared" si="16"/>
        <v>30</v>
      </c>
      <c r="M26" s="11">
        <f t="shared" si="17"/>
        <v>0</v>
      </c>
      <c r="N26" s="11">
        <f>10+10</f>
        <v>20</v>
      </c>
      <c r="O26" s="11">
        <f t="shared" si="18"/>
        <v>110</v>
      </c>
    </row>
    <row r="27" spans="1:15" x14ac:dyDescent="0.35">
      <c r="A27" s="10" t="s">
        <v>62</v>
      </c>
      <c r="B27" s="11">
        <f>11</f>
        <v>11</v>
      </c>
      <c r="C27" s="11">
        <f>15</f>
        <v>15</v>
      </c>
      <c r="D27" s="11">
        <v>1</v>
      </c>
      <c r="E27" s="12">
        <f t="shared" si="14"/>
        <v>0.40740740740740738</v>
      </c>
      <c r="F27" s="11">
        <f>8+10+1+5+3+3+5+7+7+6+12+9+14+3+10+15+4+13+4+7+12+1+7+14+7+4</f>
        <v>191</v>
      </c>
      <c r="G27" s="11">
        <f>9+11+5+4+18+6+6+4+7+7+5+7+0+7+4+3+6+9+8+28+2+15+8+5+2+14</f>
        <v>200</v>
      </c>
      <c r="H27" s="11">
        <f t="shared" si="15"/>
        <v>-9</v>
      </c>
      <c r="I27" s="11">
        <v>60</v>
      </c>
      <c r="J27" s="11">
        <v>80</v>
      </c>
      <c r="K27" s="11">
        <v>40</v>
      </c>
      <c r="L27" s="11">
        <f t="shared" si="16"/>
        <v>110</v>
      </c>
      <c r="M27" s="11">
        <f t="shared" si="17"/>
        <v>5</v>
      </c>
      <c r="N27" s="11">
        <f>70</f>
        <v>70</v>
      </c>
      <c r="O27" s="11">
        <f t="shared" si="18"/>
        <v>365</v>
      </c>
    </row>
    <row r="28" spans="1:15" x14ac:dyDescent="0.35">
      <c r="A28" s="10" t="s">
        <v>71</v>
      </c>
      <c r="B28" s="11">
        <f>5</f>
        <v>5</v>
      </c>
      <c r="C28" s="11">
        <f>2</f>
        <v>2</v>
      </c>
      <c r="D28" s="11">
        <v>0</v>
      </c>
      <c r="E28" s="12">
        <f t="shared" si="14"/>
        <v>0.7142857142857143</v>
      </c>
      <c r="F28" s="11">
        <f>5+3+4+3+15+4+9</f>
        <v>43</v>
      </c>
      <c r="G28" s="11">
        <f>2+6+5+2+1+2+3</f>
        <v>21</v>
      </c>
      <c r="H28" s="11">
        <f t="shared" si="15"/>
        <v>22</v>
      </c>
      <c r="I28" s="11">
        <v>60</v>
      </c>
      <c r="J28" s="11"/>
      <c r="K28" s="11">
        <v>20</v>
      </c>
      <c r="L28" s="11">
        <f t="shared" si="16"/>
        <v>50</v>
      </c>
      <c r="M28" s="11">
        <f t="shared" si="17"/>
        <v>0</v>
      </c>
      <c r="N28" s="11">
        <f>20</f>
        <v>20</v>
      </c>
      <c r="O28" s="11">
        <f t="shared" si="18"/>
        <v>150</v>
      </c>
    </row>
    <row r="29" spans="1:15" x14ac:dyDescent="0.35">
      <c r="A29" s="10" t="s">
        <v>84</v>
      </c>
      <c r="B29" s="11">
        <f>6</f>
        <v>6</v>
      </c>
      <c r="C29" s="11">
        <f>7</f>
        <v>7</v>
      </c>
      <c r="D29" s="11">
        <v>1</v>
      </c>
      <c r="E29" s="12">
        <f t="shared" si="14"/>
        <v>0.42857142857142855</v>
      </c>
      <c r="F29" s="11">
        <f>6+6+4+5+19+10+5+2+12+2+8+6+8+6</f>
        <v>99</v>
      </c>
      <c r="G29" s="11">
        <f>11+8+0+3+2+1+9+12+4+13+9+6+7+7</f>
        <v>92</v>
      </c>
      <c r="H29" s="11">
        <f t="shared" si="15"/>
        <v>7</v>
      </c>
      <c r="I29" s="11">
        <v>60</v>
      </c>
      <c r="J29" s="11">
        <v>40</v>
      </c>
      <c r="K29" s="11"/>
      <c r="L29" s="11">
        <f t="shared" si="16"/>
        <v>60</v>
      </c>
      <c r="M29" s="11">
        <f t="shared" si="17"/>
        <v>5</v>
      </c>
      <c r="N29" s="11">
        <f>30</f>
        <v>30</v>
      </c>
      <c r="O29" s="11">
        <f t="shared" si="18"/>
        <v>195</v>
      </c>
    </row>
    <row r="30" spans="1:15" x14ac:dyDescent="0.35">
      <c r="A30" s="10" t="s">
        <v>154</v>
      </c>
      <c r="B30" s="11">
        <f>2</f>
        <v>2</v>
      </c>
      <c r="C30" s="11">
        <f>1</f>
        <v>1</v>
      </c>
      <c r="D30" s="11">
        <v>0</v>
      </c>
      <c r="E30" s="12">
        <f t="shared" si="14"/>
        <v>0.66666666666666663</v>
      </c>
      <c r="F30" s="11">
        <f>9+7+2</f>
        <v>18</v>
      </c>
      <c r="G30" s="11">
        <f>9+4+5</f>
        <v>18</v>
      </c>
      <c r="H30" s="11">
        <f t="shared" si="15"/>
        <v>0</v>
      </c>
      <c r="I30" s="11"/>
      <c r="J30" s="11"/>
      <c r="K30" s="11">
        <v>20</v>
      </c>
      <c r="L30" s="11">
        <f t="shared" si="16"/>
        <v>20</v>
      </c>
      <c r="M30" s="11">
        <f t="shared" si="17"/>
        <v>0</v>
      </c>
      <c r="N30" s="11">
        <f>10</f>
        <v>10</v>
      </c>
      <c r="O30" s="11">
        <f t="shared" si="18"/>
        <v>50</v>
      </c>
    </row>
    <row r="31" spans="1:15" x14ac:dyDescent="0.35">
      <c r="A31" s="3" t="s">
        <v>82</v>
      </c>
      <c r="B31">
        <f>3+1+1</f>
        <v>5</v>
      </c>
      <c r="C31">
        <f>17+1+1+1+1+1+1+1+1+1+1</f>
        <v>27</v>
      </c>
      <c r="D31">
        <v>0</v>
      </c>
      <c r="E31" s="2">
        <f t="shared" si="14"/>
        <v>0.15625</v>
      </c>
      <c r="F31">
        <f>5+7+7+6+19+4+3+0+6+6+0+6+4+17+5+0+3+9+4+9+2+1+5+4+6+2+0</f>
        <v>140</v>
      </c>
      <c r="G31">
        <f>16+20+18+7+46+14+11+15+17+16+8+13+12+11+14+9+6+8+6+8+17+11+6+8+16+20+20</f>
        <v>373</v>
      </c>
      <c r="H31">
        <f t="shared" si="15"/>
        <v>-233</v>
      </c>
      <c r="K31">
        <f>20+20</f>
        <v>40</v>
      </c>
      <c r="L31">
        <f t="shared" si="16"/>
        <v>50</v>
      </c>
      <c r="M31">
        <f t="shared" si="17"/>
        <v>0</v>
      </c>
      <c r="N31">
        <f>50+10+10+10+10</f>
        <v>90</v>
      </c>
      <c r="O31">
        <f t="shared" ref="O31" si="28">SUM(I31:N31)</f>
        <v>180</v>
      </c>
    </row>
    <row r="32" spans="1:15" x14ac:dyDescent="0.35">
      <c r="A32" s="7" t="s">
        <v>159</v>
      </c>
      <c r="B32" s="11">
        <f>4</f>
        <v>4</v>
      </c>
      <c r="C32" s="11">
        <f>1</f>
        <v>1</v>
      </c>
      <c r="D32" s="11">
        <v>0</v>
      </c>
      <c r="E32" s="9">
        <f t="shared" si="14"/>
        <v>0.8</v>
      </c>
      <c r="F32" s="8">
        <f>11+11+5+8</f>
        <v>35</v>
      </c>
      <c r="G32" s="8">
        <f>23+2+4+4</f>
        <v>33</v>
      </c>
      <c r="H32" s="8">
        <f t="shared" si="15"/>
        <v>2</v>
      </c>
      <c r="I32" s="8">
        <v>60</v>
      </c>
      <c r="J32" s="8"/>
      <c r="K32" s="8"/>
      <c r="L32" s="8">
        <f t="shared" si="16"/>
        <v>40</v>
      </c>
      <c r="M32" s="8">
        <f t="shared" si="17"/>
        <v>0</v>
      </c>
      <c r="N32" s="8">
        <f>10</f>
        <v>10</v>
      </c>
      <c r="O32" s="8">
        <f t="shared" si="18"/>
        <v>110</v>
      </c>
    </row>
    <row r="33" spans="1:15" x14ac:dyDescent="0.35">
      <c r="A33" s="7" t="s">
        <v>169</v>
      </c>
      <c r="B33" s="11">
        <f>2</f>
        <v>2</v>
      </c>
      <c r="C33" s="11">
        <f>3</f>
        <v>3</v>
      </c>
      <c r="D33" s="11">
        <f>0</f>
        <v>0</v>
      </c>
      <c r="E33" s="9">
        <f t="shared" si="14"/>
        <v>0.4</v>
      </c>
      <c r="F33" s="8">
        <f>1+12+4+8+2</f>
        <v>27</v>
      </c>
      <c r="G33" s="8">
        <f>4+7+8+7+8</f>
        <v>34</v>
      </c>
      <c r="H33" s="8">
        <f t="shared" si="15"/>
        <v>-7</v>
      </c>
      <c r="I33" s="8"/>
      <c r="J33" s="8">
        <f>40</f>
        <v>40</v>
      </c>
      <c r="K33" s="8"/>
      <c r="L33" s="8">
        <f t="shared" si="16"/>
        <v>20</v>
      </c>
      <c r="M33" s="8">
        <f t="shared" si="17"/>
        <v>0</v>
      </c>
      <c r="N33" s="8">
        <f>10</f>
        <v>10</v>
      </c>
      <c r="O33" s="8">
        <f t="shared" si="18"/>
        <v>70</v>
      </c>
    </row>
    <row r="34" spans="1:15" x14ac:dyDescent="0.35">
      <c r="A34" s="7" t="s">
        <v>51</v>
      </c>
      <c r="B34" s="8">
        <f>1+1+1+1</f>
        <v>4</v>
      </c>
      <c r="C34" s="8">
        <f>1+1+1+1+1+1+1</f>
        <v>7</v>
      </c>
      <c r="D34" s="8">
        <v>0</v>
      </c>
      <c r="E34" s="9">
        <f t="shared" ref="E34" si="29">(B34)/(B34+C34+D34)</f>
        <v>0.36363636363636365</v>
      </c>
      <c r="F34" s="8">
        <f>3+2+3+13+15+9+7+1+2+14+0</f>
        <v>69</v>
      </c>
      <c r="G34" s="8">
        <f>8+10+11+1+5+7+9+10+18+13+14</f>
        <v>106</v>
      </c>
      <c r="H34" s="8">
        <f t="shared" ref="H34" si="30">F34-G34</f>
        <v>-37</v>
      </c>
      <c r="I34" s="8"/>
      <c r="J34" s="8">
        <f>40</f>
        <v>40</v>
      </c>
      <c r="K34" s="8">
        <f>20</f>
        <v>20</v>
      </c>
      <c r="L34" s="8">
        <f t="shared" ref="L34" si="31">B34*10</f>
        <v>40</v>
      </c>
      <c r="M34" s="8">
        <f t="shared" ref="M34" si="32">D34*5</f>
        <v>0</v>
      </c>
      <c r="N34" s="8">
        <f>10+10+10</f>
        <v>30</v>
      </c>
      <c r="O34" s="8">
        <f t="shared" ref="O34" si="33">SUM(I34:N34)</f>
        <v>130</v>
      </c>
    </row>
    <row r="35" spans="1:15" x14ac:dyDescent="0.35">
      <c r="A35" s="7" t="s">
        <v>167</v>
      </c>
      <c r="B35" s="11">
        <f>0</f>
        <v>0</v>
      </c>
      <c r="C35" s="11">
        <f>3</f>
        <v>3</v>
      </c>
      <c r="D35" s="11">
        <f>1</f>
        <v>1</v>
      </c>
      <c r="E35" s="9">
        <f t="shared" si="14"/>
        <v>0</v>
      </c>
      <c r="F35" s="8">
        <f>7+7+11+0</f>
        <v>25</v>
      </c>
      <c r="G35" s="8">
        <f>13+10+12+7</f>
        <v>42</v>
      </c>
      <c r="H35" s="8"/>
      <c r="I35" s="8"/>
      <c r="J35" s="8"/>
      <c r="K35" s="8"/>
      <c r="L35" s="8">
        <f t="shared" si="16"/>
        <v>0</v>
      </c>
      <c r="M35" s="8">
        <f t="shared" si="17"/>
        <v>5</v>
      </c>
      <c r="N35" s="8">
        <f>10</f>
        <v>10</v>
      </c>
      <c r="O35" s="8">
        <f t="shared" si="18"/>
        <v>15</v>
      </c>
    </row>
    <row r="36" spans="1:15" x14ac:dyDescent="0.35">
      <c r="A36" s="10" t="s">
        <v>61</v>
      </c>
      <c r="B36" s="11">
        <f>11</f>
        <v>11</v>
      </c>
      <c r="C36" s="11">
        <f>8</f>
        <v>8</v>
      </c>
      <c r="D36" s="11">
        <v>3</v>
      </c>
      <c r="E36" s="12">
        <f t="shared" si="14"/>
        <v>0.5</v>
      </c>
      <c r="F36" s="11">
        <f>9+11+11+5+18+9+3+17+5+16+3+2+8+3+3+12+2+14+14+4+6+2</f>
        <v>177</v>
      </c>
      <c r="G36" s="11">
        <f>8+6+4+3+3+10+5+9+9+1+8+2+8+4+5+0+2+6+5+7+14</f>
        <v>119</v>
      </c>
      <c r="H36" s="11">
        <f t="shared" si="15"/>
        <v>58</v>
      </c>
      <c r="I36" s="11">
        <v>120</v>
      </c>
      <c r="J36" s="11"/>
      <c r="K36" s="11">
        <v>40</v>
      </c>
      <c r="L36" s="11">
        <f t="shared" si="16"/>
        <v>110</v>
      </c>
      <c r="M36" s="11">
        <f t="shared" si="17"/>
        <v>15</v>
      </c>
      <c r="N36" s="11">
        <f>60</f>
        <v>60</v>
      </c>
      <c r="O36" s="11">
        <f t="shared" si="18"/>
        <v>345</v>
      </c>
    </row>
    <row r="37" spans="1:15" x14ac:dyDescent="0.35">
      <c r="A37" s="10" t="s">
        <v>158</v>
      </c>
      <c r="B37" s="11">
        <f>1+1</f>
        <v>2</v>
      </c>
      <c r="C37" s="11">
        <f>1+1+1+1+1+1+1+1</f>
        <v>8</v>
      </c>
      <c r="D37" s="11">
        <v>0</v>
      </c>
      <c r="E37" s="12">
        <f t="shared" ref="E37" si="34">(B37)/(B37+C37+D37)</f>
        <v>0.2</v>
      </c>
      <c r="F37" s="11">
        <f>5+3+6+1+2+6+4+1+2+4</f>
        <v>34</v>
      </c>
      <c r="G37" s="11">
        <f>7+13+5+13+6+5+11+19+22+10</f>
        <v>111</v>
      </c>
      <c r="H37" s="11">
        <f t="shared" ref="H37" si="35">F37-G37</f>
        <v>-77</v>
      </c>
      <c r="I37" s="11"/>
      <c r="J37" s="11">
        <f>40</f>
        <v>40</v>
      </c>
      <c r="K37" s="11"/>
      <c r="L37" s="11">
        <f t="shared" ref="L37" si="36">B37*10</f>
        <v>20</v>
      </c>
      <c r="M37" s="11">
        <f t="shared" ref="M37" si="37">D37*5</f>
        <v>0</v>
      </c>
      <c r="N37" s="11">
        <f>10+10+10+10</f>
        <v>40</v>
      </c>
      <c r="O37" s="11">
        <f t="shared" ref="O37" si="38">SUM(I37:N37)</f>
        <v>100</v>
      </c>
    </row>
    <row r="38" spans="1:15" x14ac:dyDescent="0.35">
      <c r="A38" s="7" t="s">
        <v>173</v>
      </c>
      <c r="B38" s="8">
        <f>1+1+1+1+1+1+1+1+1+1+1+1+1+1+1+1+1</f>
        <v>17</v>
      </c>
      <c r="C38" s="8">
        <f>0+1+1+1+1+1+1</f>
        <v>6</v>
      </c>
      <c r="D38" s="8">
        <v>0</v>
      </c>
      <c r="E38" s="9">
        <f t="shared" si="14"/>
        <v>0.73913043478260865</v>
      </c>
      <c r="F38" s="8">
        <f>5+1+8+6+12+15+15+20+15+8+10+3+22+13+17+20+20+2+18+14+6+5+0</f>
        <v>255</v>
      </c>
      <c r="G38" s="8">
        <f>1+3+9+4+10+6+0+4+0+0+0+4+0+2+2+2+0+3+2+6+8+4+4</f>
        <v>74</v>
      </c>
      <c r="H38" s="8">
        <f t="shared" si="15"/>
        <v>181</v>
      </c>
      <c r="I38" s="8">
        <f>60+60+60</f>
        <v>180</v>
      </c>
      <c r="J38" s="8">
        <f>40+40</f>
        <v>80</v>
      </c>
      <c r="K38" s="8"/>
      <c r="L38" s="8">
        <f t="shared" si="16"/>
        <v>170</v>
      </c>
      <c r="M38" s="8">
        <f t="shared" si="17"/>
        <v>0</v>
      </c>
      <c r="N38" s="8">
        <f>10+10+10+10+10</f>
        <v>50</v>
      </c>
      <c r="O38" s="8">
        <f t="shared" si="18"/>
        <v>480</v>
      </c>
    </row>
    <row r="39" spans="1:15" x14ac:dyDescent="0.35">
      <c r="A39" s="10" t="s">
        <v>83</v>
      </c>
      <c r="B39" s="11">
        <f>1</f>
        <v>1</v>
      </c>
      <c r="C39" s="11">
        <f>3</f>
        <v>3</v>
      </c>
      <c r="D39" s="11">
        <v>0</v>
      </c>
      <c r="E39" s="12">
        <f t="shared" si="14"/>
        <v>0.25</v>
      </c>
      <c r="F39" s="11">
        <f>19+4+0+10</f>
        <v>33</v>
      </c>
      <c r="G39" s="11">
        <f>4+7+4+11</f>
        <v>26</v>
      </c>
      <c r="H39" s="11">
        <f t="shared" si="15"/>
        <v>7</v>
      </c>
      <c r="I39" s="11"/>
      <c r="J39" s="11"/>
      <c r="K39" s="11"/>
      <c r="L39" s="11">
        <f t="shared" si="16"/>
        <v>10</v>
      </c>
      <c r="M39" s="11">
        <f t="shared" si="17"/>
        <v>0</v>
      </c>
      <c r="N39" s="11">
        <f>10</f>
        <v>10</v>
      </c>
      <c r="O39" s="11">
        <f t="shared" si="18"/>
        <v>20</v>
      </c>
    </row>
    <row r="40" spans="1:15" x14ac:dyDescent="0.35">
      <c r="A40" s="10" t="s">
        <v>41</v>
      </c>
      <c r="B40" s="11">
        <f>11+3</f>
        <v>14</v>
      </c>
      <c r="C40" s="11">
        <f>9+2</f>
        <v>11</v>
      </c>
      <c r="D40" s="11">
        <v>1</v>
      </c>
      <c r="E40" s="12">
        <f t="shared" si="14"/>
        <v>0.53846153846153844</v>
      </c>
      <c r="F40" s="11">
        <f>0+3+1+2+6+8+4+8+10+11+13+1+18+9+4+11+4+7+14+6+1+8+10+4+6+8</f>
        <v>177</v>
      </c>
      <c r="G40" s="11">
        <f>14+3+14+5+5+9+5+7+9+10+9+10+1+8+15+7+5+5+9+5+12+9+9+9+4+2</f>
        <v>200</v>
      </c>
      <c r="H40" s="11">
        <f t="shared" si="15"/>
        <v>-23</v>
      </c>
      <c r="I40" s="11">
        <f>60</f>
        <v>60</v>
      </c>
      <c r="J40" s="11">
        <v>80</v>
      </c>
      <c r="K40" s="11"/>
      <c r="L40" s="11">
        <f t="shared" si="16"/>
        <v>140</v>
      </c>
      <c r="M40" s="11">
        <f t="shared" si="17"/>
        <v>5</v>
      </c>
      <c r="N40" s="11">
        <f>10+50</f>
        <v>60</v>
      </c>
      <c r="O40" s="11">
        <f t="shared" si="18"/>
        <v>345</v>
      </c>
    </row>
    <row r="41" spans="1:15" x14ac:dyDescent="0.35">
      <c r="A41" s="10" t="s">
        <v>69</v>
      </c>
      <c r="B41" s="11">
        <f>3+1+1+1+1+1+1</f>
        <v>9</v>
      </c>
      <c r="C41" s="11">
        <f>5+1+1</f>
        <v>7</v>
      </c>
      <c r="D41" s="11">
        <v>1</v>
      </c>
      <c r="E41" s="12">
        <f t="shared" si="14"/>
        <v>0.52941176470588236</v>
      </c>
      <c r="F41" s="11">
        <f>2+9+5+4+2+3+4+13+7+4+11+10+1+5+16+17+3</f>
        <v>116</v>
      </c>
      <c r="G41" s="11">
        <f>4+3+4+6+2+10+12+2+8+3+1+0+10+8+6+3+2</f>
        <v>84</v>
      </c>
      <c r="H41" s="11">
        <f t="shared" si="15"/>
        <v>32</v>
      </c>
      <c r="I41" s="11">
        <f>60</f>
        <v>60</v>
      </c>
      <c r="J41" s="11">
        <f>40+40</f>
        <v>80</v>
      </c>
      <c r="K41" s="11"/>
      <c r="L41" s="11">
        <f t="shared" si="16"/>
        <v>90</v>
      </c>
      <c r="M41" s="11">
        <f t="shared" si="17"/>
        <v>5</v>
      </c>
      <c r="N41" s="11">
        <f>20+10+10</f>
        <v>40</v>
      </c>
      <c r="O41" s="11">
        <f t="shared" si="18"/>
        <v>275</v>
      </c>
    </row>
    <row r="42" spans="1:15" x14ac:dyDescent="0.35">
      <c r="A42" s="10" t="s">
        <v>98</v>
      </c>
      <c r="B42" s="11">
        <f>1</f>
        <v>1</v>
      </c>
      <c r="C42" s="11">
        <f>3</f>
        <v>3</v>
      </c>
      <c r="D42" s="11">
        <v>0</v>
      </c>
      <c r="E42" s="12">
        <f t="shared" si="14"/>
        <v>0.25</v>
      </c>
      <c r="F42" s="11">
        <f>3+7+6+3</f>
        <v>19</v>
      </c>
      <c r="G42" s="11">
        <f>5+8+3+9</f>
        <v>25</v>
      </c>
      <c r="H42" s="11">
        <f t="shared" si="15"/>
        <v>-6</v>
      </c>
      <c r="I42" s="11"/>
      <c r="J42" s="11"/>
      <c r="K42" s="11"/>
      <c r="L42" s="11">
        <f t="shared" si="16"/>
        <v>10</v>
      </c>
      <c r="M42" s="11">
        <f t="shared" si="17"/>
        <v>0</v>
      </c>
      <c r="N42" s="11">
        <f>10</f>
        <v>10</v>
      </c>
      <c r="O42" s="11">
        <f t="shared" si="18"/>
        <v>20</v>
      </c>
    </row>
    <row r="43" spans="1:15" x14ac:dyDescent="0.35">
      <c r="A43" s="10" t="s">
        <v>251</v>
      </c>
      <c r="B43" s="11">
        <f>1</f>
        <v>1</v>
      </c>
      <c r="C43" s="11">
        <f>1+1+1</f>
        <v>3</v>
      </c>
      <c r="D43" s="11">
        <v>0</v>
      </c>
      <c r="E43" s="12">
        <f t="shared" si="14"/>
        <v>0.25</v>
      </c>
      <c r="F43" s="11">
        <f>2+8+11+0</f>
        <v>21</v>
      </c>
      <c r="G43" s="11">
        <f>11+10+2+7</f>
        <v>30</v>
      </c>
      <c r="H43" s="11">
        <f t="shared" si="15"/>
        <v>-9</v>
      </c>
      <c r="I43" s="11"/>
      <c r="J43" s="11"/>
      <c r="K43" s="11"/>
      <c r="L43" s="11">
        <f t="shared" si="16"/>
        <v>10</v>
      </c>
      <c r="M43" s="11">
        <f t="shared" si="17"/>
        <v>0</v>
      </c>
      <c r="N43" s="11">
        <f>10</f>
        <v>10</v>
      </c>
      <c r="O43" s="11">
        <f t="shared" si="18"/>
        <v>20</v>
      </c>
    </row>
    <row r="44" spans="1:15" x14ac:dyDescent="0.35">
      <c r="A44" s="10" t="s">
        <v>211</v>
      </c>
      <c r="B44" s="11">
        <f>1+1+1</f>
        <v>3</v>
      </c>
      <c r="C44" s="11">
        <f>1+1+1</f>
        <v>3</v>
      </c>
      <c r="D44" s="11">
        <v>0</v>
      </c>
      <c r="E44" s="12">
        <f t="shared" ref="E44" si="39">(B44)/(B44+C44+D44)</f>
        <v>0.5</v>
      </c>
      <c r="F44" s="11">
        <f>8+7+6+15+7+0</f>
        <v>43</v>
      </c>
      <c r="G44" s="11">
        <f>9+5+8+5+0+20</f>
        <v>47</v>
      </c>
      <c r="H44" s="11">
        <f t="shared" ref="H44" si="40">F44-G44</f>
        <v>-4</v>
      </c>
      <c r="I44" s="11"/>
      <c r="J44" s="11">
        <f>40</f>
        <v>40</v>
      </c>
      <c r="K44" s="11">
        <f>20</f>
        <v>20</v>
      </c>
      <c r="L44" s="11">
        <f t="shared" ref="L44" si="41">B44*10</f>
        <v>30</v>
      </c>
      <c r="M44" s="11">
        <f t="shared" ref="M44" si="42">D44*5</f>
        <v>0</v>
      </c>
      <c r="N44" s="11">
        <f>10+10</f>
        <v>20</v>
      </c>
      <c r="O44" s="11">
        <f t="shared" ref="O44" si="43">SUM(I44:N44)</f>
        <v>110</v>
      </c>
    </row>
    <row r="45" spans="1:15" x14ac:dyDescent="0.35">
      <c r="A45" s="10" t="s">
        <v>170</v>
      </c>
      <c r="B45" s="11">
        <f>3</f>
        <v>3</v>
      </c>
      <c r="C45" s="11">
        <f>2</f>
        <v>2</v>
      </c>
      <c r="D45" s="11">
        <f>0</f>
        <v>0</v>
      </c>
      <c r="E45" s="12">
        <f t="shared" si="14"/>
        <v>0.6</v>
      </c>
      <c r="F45" s="11">
        <f>2+12+8+7+2</f>
        <v>31</v>
      </c>
      <c r="G45" s="11">
        <f>4+3+4+11+20</f>
        <v>42</v>
      </c>
      <c r="H45" s="11">
        <f t="shared" si="15"/>
        <v>-11</v>
      </c>
      <c r="I45" s="11"/>
      <c r="J45" s="11">
        <f>40</f>
        <v>40</v>
      </c>
      <c r="K45" s="11"/>
      <c r="L45" s="11">
        <f t="shared" si="16"/>
        <v>30</v>
      </c>
      <c r="M45" s="11">
        <f t="shared" si="17"/>
        <v>0</v>
      </c>
      <c r="N45" s="11">
        <f>10</f>
        <v>10</v>
      </c>
      <c r="O45" s="11">
        <f t="shared" si="18"/>
        <v>80</v>
      </c>
    </row>
    <row r="46" spans="1:15" x14ac:dyDescent="0.35">
      <c r="A46" s="10" t="s">
        <v>227</v>
      </c>
      <c r="B46" s="11">
        <f>0</f>
        <v>0</v>
      </c>
      <c r="C46" s="11">
        <f>1+1+1+1+1+1</f>
        <v>6</v>
      </c>
      <c r="D46" s="11">
        <v>0</v>
      </c>
      <c r="E46" s="12">
        <f t="shared" ref="E46" si="44">(B46)/(B46+C46+D46)</f>
        <v>0</v>
      </c>
      <c r="F46" s="11">
        <f>0+1+0+2+5+2</f>
        <v>10</v>
      </c>
      <c r="G46" s="11">
        <f>15+13+28+15+11</f>
        <v>82</v>
      </c>
      <c r="H46" s="11">
        <f t="shared" ref="H46" si="45">F46-G46</f>
        <v>-72</v>
      </c>
      <c r="I46" s="11"/>
      <c r="J46" s="11"/>
      <c r="K46" s="11"/>
      <c r="L46" s="11">
        <f t="shared" ref="L46" si="46">B46*10</f>
        <v>0</v>
      </c>
      <c r="M46" s="11">
        <f t="shared" ref="M46" si="47">D46*5</f>
        <v>0</v>
      </c>
      <c r="N46" s="11">
        <f>10+10</f>
        <v>20</v>
      </c>
      <c r="O46" s="11">
        <f t="shared" ref="O46" si="48">SUM(I46:N46)</f>
        <v>20</v>
      </c>
    </row>
    <row r="47" spans="1:15" x14ac:dyDescent="0.35">
      <c r="A47" s="10" t="s">
        <v>101</v>
      </c>
      <c r="B47" s="11">
        <f>0</f>
        <v>0</v>
      </c>
      <c r="C47" s="11">
        <f>4</f>
        <v>4</v>
      </c>
      <c r="D47" s="11">
        <v>0</v>
      </c>
      <c r="E47" s="12">
        <f t="shared" si="14"/>
        <v>0</v>
      </c>
      <c r="F47" s="11">
        <f>5+5+1+2</f>
        <v>13</v>
      </c>
      <c r="G47" s="11">
        <f>13+16+16+19</f>
        <v>64</v>
      </c>
      <c r="H47" s="11">
        <f t="shared" si="15"/>
        <v>-51</v>
      </c>
      <c r="I47" s="11"/>
      <c r="J47" s="11"/>
      <c r="K47" s="11"/>
      <c r="L47" s="11">
        <f t="shared" si="16"/>
        <v>0</v>
      </c>
      <c r="M47" s="11">
        <f t="shared" si="17"/>
        <v>0</v>
      </c>
      <c r="N47" s="11">
        <f>10</f>
        <v>10</v>
      </c>
      <c r="O47" s="11">
        <f t="shared" si="18"/>
        <v>10</v>
      </c>
    </row>
    <row r="48" spans="1:15" x14ac:dyDescent="0.35">
      <c r="A48" s="10" t="s">
        <v>73</v>
      </c>
      <c r="B48" s="11">
        <f>3</f>
        <v>3</v>
      </c>
      <c r="C48" s="11">
        <f>15+3</f>
        <v>18</v>
      </c>
      <c r="D48" s="11">
        <f>1+0</f>
        <v>1</v>
      </c>
      <c r="E48" s="12">
        <f t="shared" si="14"/>
        <v>0.13636363636363635</v>
      </c>
      <c r="F48" s="11">
        <f>5+3+9+0+3+8+6+1+0+6+1+4+5+13+5+3+6+2+7+9+3+8</f>
        <v>107</v>
      </c>
      <c r="G48" s="11">
        <f>6+9+8+12+9+16+15+13+12+5+11+6+4+8+7+11+11+7+10+21+18</f>
        <v>219</v>
      </c>
      <c r="H48" s="11">
        <f t="shared" si="15"/>
        <v>-112</v>
      </c>
      <c r="I48" s="11"/>
      <c r="J48" s="11"/>
      <c r="K48" s="11">
        <v>40</v>
      </c>
      <c r="L48" s="11">
        <f t="shared" si="16"/>
        <v>30</v>
      </c>
      <c r="M48" s="11">
        <f t="shared" si="17"/>
        <v>5</v>
      </c>
      <c r="N48" s="11">
        <f>10+60</f>
        <v>70</v>
      </c>
      <c r="O48" s="11">
        <f t="shared" si="18"/>
        <v>145</v>
      </c>
    </row>
    <row r="49" spans="1:15" x14ac:dyDescent="0.35">
      <c r="A49" s="10" t="s">
        <v>150</v>
      </c>
      <c r="B49" s="11">
        <f>1</f>
        <v>1</v>
      </c>
      <c r="C49" s="11">
        <f>3</f>
        <v>3</v>
      </c>
      <c r="D49" s="11">
        <v>0</v>
      </c>
      <c r="E49" s="12">
        <f t="shared" si="14"/>
        <v>0.25</v>
      </c>
      <c r="F49" s="11">
        <f>5+7+13+5</f>
        <v>30</v>
      </c>
      <c r="G49" s="11">
        <f>21+8+6+12</f>
        <v>47</v>
      </c>
      <c r="H49" s="11">
        <f t="shared" si="15"/>
        <v>-17</v>
      </c>
      <c r="I49" s="11"/>
      <c r="J49" s="11">
        <v>40</v>
      </c>
      <c r="K49" s="11"/>
      <c r="L49" s="11">
        <f t="shared" si="16"/>
        <v>10</v>
      </c>
      <c r="M49" s="11">
        <f t="shared" si="17"/>
        <v>0</v>
      </c>
      <c r="N49" s="11">
        <f>10</f>
        <v>10</v>
      </c>
      <c r="O49" s="11">
        <f t="shared" si="18"/>
        <v>60</v>
      </c>
    </row>
    <row r="50" spans="1:15" x14ac:dyDescent="0.35">
      <c r="A50" s="7" t="s">
        <v>239</v>
      </c>
      <c r="B50" s="8">
        <f>1+1+1</f>
        <v>3</v>
      </c>
      <c r="C50" s="8">
        <f>1</f>
        <v>1</v>
      </c>
      <c r="D50" s="8">
        <f>0</f>
        <v>0</v>
      </c>
      <c r="E50" s="9">
        <f t="shared" ref="E50" si="49">(B50)/(B50+C50+D50)</f>
        <v>0.75</v>
      </c>
      <c r="F50" s="8">
        <f>7+4+12+2</f>
        <v>25</v>
      </c>
      <c r="G50" s="8">
        <f>1+3+11+13</f>
        <v>28</v>
      </c>
      <c r="H50" s="8">
        <f t="shared" ref="H50" si="50">F50-G50</f>
        <v>-3</v>
      </c>
      <c r="I50" s="8"/>
      <c r="J50" s="8">
        <f>40</f>
        <v>40</v>
      </c>
      <c r="K50" s="8"/>
      <c r="L50" s="8">
        <f t="shared" ref="L50" si="51">B50*10</f>
        <v>30</v>
      </c>
      <c r="M50" s="8">
        <f t="shared" ref="M50" si="52">D50*5</f>
        <v>0</v>
      </c>
      <c r="N50" s="8">
        <f>10</f>
        <v>10</v>
      </c>
      <c r="O50" s="8">
        <f t="shared" ref="O50" si="53">SUM(I50:N50)</f>
        <v>80</v>
      </c>
    </row>
    <row r="51" spans="1:15" x14ac:dyDescent="0.35">
      <c r="A51" s="10" t="s">
        <v>97</v>
      </c>
      <c r="B51" s="11">
        <f>12+1+1+1+1+1+1+1+1+1+1+1</f>
        <v>23</v>
      </c>
      <c r="C51" s="11">
        <f>11+1</f>
        <v>12</v>
      </c>
      <c r="D51" s="11">
        <v>2</v>
      </c>
      <c r="E51" s="12">
        <f t="shared" si="14"/>
        <v>0.6216216216216216</v>
      </c>
      <c r="F51" s="11">
        <f>17+6+10+0+15+14+7+13+7+12+8+9+5+5+2+10+11+5+9+5+5+2+9+5+3+13+19+13+6+18+8+7+10+22+5+15+11</f>
        <v>341</v>
      </c>
      <c r="G51" s="11">
        <f>2+9+9+0+7+12+6+0+9+2+8+13+3+3+2+0+1+14+13+7+6+3+0+2+9+1+4+1+5+0+7+0+1+2+12+0+4</f>
        <v>177</v>
      </c>
      <c r="H51" s="11">
        <f t="shared" si="15"/>
        <v>164</v>
      </c>
      <c r="I51" s="11">
        <f>60+60+60+60</f>
        <v>240</v>
      </c>
      <c r="J51" s="11">
        <v>160</v>
      </c>
      <c r="K51" s="11"/>
      <c r="L51" s="11">
        <f t="shared" si="16"/>
        <v>230</v>
      </c>
      <c r="M51" s="11">
        <f t="shared" si="17"/>
        <v>10</v>
      </c>
      <c r="N51" s="11">
        <f>60+10+10+10</f>
        <v>90</v>
      </c>
      <c r="O51" s="11">
        <f t="shared" si="18"/>
        <v>730</v>
      </c>
    </row>
    <row r="52" spans="1:15" x14ac:dyDescent="0.35">
      <c r="A52" s="7" t="s">
        <v>153</v>
      </c>
      <c r="B52" s="8">
        <f>0</f>
        <v>0</v>
      </c>
      <c r="C52" s="8">
        <f>3</f>
        <v>3</v>
      </c>
      <c r="D52" s="8">
        <v>0</v>
      </c>
      <c r="E52" s="9">
        <f t="shared" si="14"/>
        <v>0</v>
      </c>
      <c r="F52" s="8">
        <f>6+1+4</f>
        <v>11</v>
      </c>
      <c r="G52" s="8">
        <f>14+12+13</f>
        <v>39</v>
      </c>
      <c r="H52" s="8">
        <f t="shared" si="15"/>
        <v>-28</v>
      </c>
      <c r="I52" s="8"/>
      <c r="J52" s="8"/>
      <c r="K52" s="8"/>
      <c r="L52" s="8">
        <f t="shared" si="16"/>
        <v>0</v>
      </c>
      <c r="M52" s="8">
        <f t="shared" si="17"/>
        <v>0</v>
      </c>
      <c r="N52" s="8">
        <f>10</f>
        <v>10</v>
      </c>
      <c r="O52" s="8">
        <f t="shared" si="18"/>
        <v>10</v>
      </c>
    </row>
    <row r="53" spans="1:15" x14ac:dyDescent="0.35">
      <c r="A53" s="7"/>
      <c r="B53" s="8"/>
      <c r="C53" s="8"/>
      <c r="D53" s="8"/>
      <c r="E53" s="9" t="e">
        <f t="shared" si="14"/>
        <v>#DIV/0!</v>
      </c>
      <c r="F53" s="8"/>
      <c r="G53" s="8"/>
      <c r="H53" s="8">
        <f t="shared" si="15"/>
        <v>0</v>
      </c>
      <c r="I53" s="8"/>
      <c r="J53" s="8"/>
      <c r="K53" s="8"/>
      <c r="L53" s="8">
        <f t="shared" si="16"/>
        <v>0</v>
      </c>
      <c r="M53" s="8">
        <f t="shared" si="17"/>
        <v>0</v>
      </c>
      <c r="N53" s="8"/>
      <c r="O53" s="8">
        <f t="shared" si="18"/>
        <v>0</v>
      </c>
    </row>
    <row r="54" spans="1:15" x14ac:dyDescent="0.35">
      <c r="A54" s="7"/>
      <c r="B54" s="8"/>
      <c r="C54" s="8"/>
      <c r="D54" s="8"/>
      <c r="E54" s="9" t="e">
        <f t="shared" si="14"/>
        <v>#DIV/0!</v>
      </c>
      <c r="F54" s="8"/>
      <c r="G54" s="8"/>
      <c r="H54" s="8">
        <f t="shared" si="15"/>
        <v>0</v>
      </c>
      <c r="I54" s="8"/>
      <c r="J54" s="8"/>
      <c r="K54" s="8"/>
      <c r="L54" s="8">
        <f t="shared" si="16"/>
        <v>0</v>
      </c>
      <c r="M54" s="8">
        <f t="shared" si="17"/>
        <v>0</v>
      </c>
      <c r="N54" s="8"/>
      <c r="O54" s="8">
        <f t="shared" si="18"/>
        <v>0</v>
      </c>
    </row>
    <row r="55" spans="1:15" x14ac:dyDescent="0.35">
      <c r="A55" s="7"/>
      <c r="B55" s="8"/>
      <c r="C55" s="8"/>
      <c r="D55" s="8"/>
      <c r="E55" s="9" t="e">
        <f t="shared" si="14"/>
        <v>#DIV/0!</v>
      </c>
      <c r="F55" s="8"/>
      <c r="G55" s="8"/>
      <c r="H55" s="8">
        <f t="shared" si="15"/>
        <v>0</v>
      </c>
      <c r="I55" s="8"/>
      <c r="J55" s="8"/>
      <c r="K55" s="8"/>
      <c r="L55" s="8">
        <f t="shared" si="16"/>
        <v>0</v>
      </c>
      <c r="M55" s="8">
        <f t="shared" si="17"/>
        <v>0</v>
      </c>
      <c r="N55" s="8"/>
      <c r="O55" s="8">
        <f t="shared" si="18"/>
        <v>0</v>
      </c>
    </row>
    <row r="56" spans="1:15" x14ac:dyDescent="0.35">
      <c r="A56" s="7"/>
      <c r="B56" s="8"/>
      <c r="C56" s="8"/>
      <c r="D56" s="8"/>
      <c r="E56" s="9" t="e">
        <f t="shared" si="14"/>
        <v>#DIV/0!</v>
      </c>
      <c r="F56" s="8"/>
      <c r="G56" s="8"/>
      <c r="H56" s="8">
        <f t="shared" si="15"/>
        <v>0</v>
      </c>
      <c r="I56" s="8"/>
      <c r="J56" s="8"/>
      <c r="K56" s="8"/>
      <c r="L56" s="8">
        <f t="shared" si="16"/>
        <v>0</v>
      </c>
      <c r="M56" s="8">
        <f t="shared" si="17"/>
        <v>0</v>
      </c>
      <c r="N56" s="8"/>
      <c r="O56" s="8">
        <f t="shared" si="18"/>
        <v>0</v>
      </c>
    </row>
    <row r="57" spans="1:15" x14ac:dyDescent="0.35">
      <c r="A57" s="13"/>
      <c r="B57" s="8"/>
      <c r="C57" s="8"/>
      <c r="D57" s="8"/>
      <c r="E57" s="9" t="e">
        <f t="shared" si="14"/>
        <v>#DIV/0!</v>
      </c>
      <c r="F57" s="8"/>
      <c r="G57" s="8"/>
      <c r="H57" s="8">
        <f t="shared" si="15"/>
        <v>0</v>
      </c>
      <c r="I57" s="8"/>
      <c r="J57" s="8"/>
      <c r="K57" s="8"/>
      <c r="L57" s="8">
        <f t="shared" si="16"/>
        <v>0</v>
      </c>
      <c r="M57" s="8">
        <f t="shared" si="17"/>
        <v>0</v>
      </c>
      <c r="N57" s="8"/>
      <c r="O57" s="8">
        <f t="shared" si="18"/>
        <v>0</v>
      </c>
    </row>
    <row r="58" spans="1:15" x14ac:dyDescent="0.35">
      <c r="A58" s="7"/>
      <c r="B58" s="8"/>
      <c r="C58" s="8"/>
      <c r="D58" s="8"/>
      <c r="E58" s="9" t="e">
        <f t="shared" si="14"/>
        <v>#DIV/0!</v>
      </c>
      <c r="F58" s="8"/>
      <c r="G58" s="8"/>
      <c r="H58" s="8">
        <f t="shared" si="15"/>
        <v>0</v>
      </c>
      <c r="I58" s="8"/>
      <c r="J58" s="8"/>
      <c r="K58" s="8"/>
      <c r="L58" s="8">
        <f t="shared" si="16"/>
        <v>0</v>
      </c>
      <c r="M58" s="8">
        <f t="shared" si="17"/>
        <v>0</v>
      </c>
      <c r="N58" s="8"/>
      <c r="O58" s="8">
        <f t="shared" si="18"/>
        <v>0</v>
      </c>
    </row>
    <row r="59" spans="1:15" x14ac:dyDescent="0.35">
      <c r="A59" s="7"/>
      <c r="B59" s="8"/>
      <c r="C59" s="8"/>
      <c r="D59" s="8"/>
      <c r="E59" s="9" t="e">
        <f t="shared" ref="E59:E88" si="54">(B59)/(B59+C59+D59)</f>
        <v>#DIV/0!</v>
      </c>
      <c r="F59" s="8"/>
      <c r="G59" s="8"/>
      <c r="H59" s="8">
        <f t="shared" ref="H59:H88" si="55">F59-G59</f>
        <v>0</v>
      </c>
      <c r="I59" s="8"/>
      <c r="J59" s="8"/>
      <c r="K59" s="8"/>
      <c r="L59" s="8">
        <f t="shared" si="16"/>
        <v>0</v>
      </c>
      <c r="M59" s="8">
        <f t="shared" ref="M59:M88" si="56">D59*5</f>
        <v>0</v>
      </c>
      <c r="N59" s="8"/>
      <c r="O59" s="8">
        <f t="shared" ref="O59:O88" si="57">SUM(I59:N59)</f>
        <v>0</v>
      </c>
    </row>
    <row r="60" spans="1:15" x14ac:dyDescent="0.35">
      <c r="A60" s="7"/>
      <c r="B60" s="8"/>
      <c r="C60" s="8"/>
      <c r="D60" s="8"/>
      <c r="E60" s="9" t="e">
        <f t="shared" si="54"/>
        <v>#DIV/0!</v>
      </c>
      <c r="F60" s="8"/>
      <c r="G60" s="8"/>
      <c r="H60" s="8">
        <f t="shared" si="55"/>
        <v>0</v>
      </c>
      <c r="I60" s="8"/>
      <c r="J60" s="8"/>
      <c r="K60" s="8"/>
      <c r="L60" s="8">
        <f t="shared" si="16"/>
        <v>0</v>
      </c>
      <c r="M60" s="8">
        <f t="shared" si="56"/>
        <v>0</v>
      </c>
      <c r="N60" s="8"/>
      <c r="O60" s="8">
        <f t="shared" si="57"/>
        <v>0</v>
      </c>
    </row>
    <row r="61" spans="1:15" x14ac:dyDescent="0.35">
      <c r="A61" s="7"/>
      <c r="B61" s="8"/>
      <c r="C61" s="8"/>
      <c r="D61" s="8"/>
      <c r="E61" s="9" t="e">
        <f t="shared" si="54"/>
        <v>#DIV/0!</v>
      </c>
      <c r="F61" s="8"/>
      <c r="G61" s="8"/>
      <c r="H61" s="8">
        <f t="shared" si="55"/>
        <v>0</v>
      </c>
      <c r="I61" s="8"/>
      <c r="J61" s="8"/>
      <c r="K61" s="8"/>
      <c r="L61" s="8">
        <f t="shared" si="16"/>
        <v>0</v>
      </c>
      <c r="M61" s="8">
        <f t="shared" si="56"/>
        <v>0</v>
      </c>
      <c r="N61" s="8"/>
      <c r="O61" s="8">
        <f t="shared" si="57"/>
        <v>0</v>
      </c>
    </row>
    <row r="62" spans="1:15" x14ac:dyDescent="0.35">
      <c r="A62" s="7"/>
      <c r="B62" s="8"/>
      <c r="C62" s="8"/>
      <c r="D62" s="8"/>
      <c r="E62" s="9" t="e">
        <f t="shared" si="54"/>
        <v>#DIV/0!</v>
      </c>
      <c r="F62" s="8"/>
      <c r="G62" s="8"/>
      <c r="H62" s="8">
        <f t="shared" si="55"/>
        <v>0</v>
      </c>
      <c r="I62" s="8"/>
      <c r="J62" s="8"/>
      <c r="K62" s="8"/>
      <c r="L62" s="8">
        <f t="shared" si="16"/>
        <v>0</v>
      </c>
      <c r="M62" s="8">
        <f t="shared" si="56"/>
        <v>0</v>
      </c>
      <c r="N62" s="8"/>
      <c r="O62" s="8">
        <f t="shared" si="57"/>
        <v>0</v>
      </c>
    </row>
    <row r="63" spans="1:15" x14ac:dyDescent="0.35">
      <c r="A63" s="7"/>
      <c r="B63" s="8"/>
      <c r="C63" s="8"/>
      <c r="D63" s="8"/>
      <c r="E63" s="9" t="e">
        <f t="shared" si="54"/>
        <v>#DIV/0!</v>
      </c>
      <c r="F63" s="8"/>
      <c r="G63" s="8"/>
      <c r="H63" s="8">
        <f t="shared" si="55"/>
        <v>0</v>
      </c>
      <c r="I63" s="8"/>
      <c r="J63" s="8"/>
      <c r="K63" s="8"/>
      <c r="L63" s="8">
        <f t="shared" si="16"/>
        <v>0</v>
      </c>
      <c r="M63" s="8">
        <f t="shared" si="56"/>
        <v>0</v>
      </c>
      <c r="N63" s="8"/>
      <c r="O63" s="8">
        <f t="shared" si="57"/>
        <v>0</v>
      </c>
    </row>
    <row r="64" spans="1:15" x14ac:dyDescent="0.35">
      <c r="A64" s="3"/>
      <c r="E64" s="2" t="e">
        <f t="shared" si="54"/>
        <v>#DIV/0!</v>
      </c>
      <c r="H64">
        <f t="shared" si="55"/>
        <v>0</v>
      </c>
      <c r="L64">
        <f t="shared" si="16"/>
        <v>0</v>
      </c>
      <c r="M64">
        <f t="shared" si="56"/>
        <v>0</v>
      </c>
      <c r="O64">
        <f t="shared" si="57"/>
        <v>0</v>
      </c>
    </row>
    <row r="65" spans="1:15" x14ac:dyDescent="0.35">
      <c r="A65" s="3"/>
      <c r="E65" s="2" t="e">
        <f t="shared" si="54"/>
        <v>#DIV/0!</v>
      </c>
      <c r="H65">
        <f t="shared" si="55"/>
        <v>0</v>
      </c>
      <c r="L65">
        <f t="shared" si="16"/>
        <v>0</v>
      </c>
      <c r="M65">
        <f t="shared" si="56"/>
        <v>0</v>
      </c>
      <c r="O65">
        <f t="shared" si="57"/>
        <v>0</v>
      </c>
    </row>
    <row r="66" spans="1:15" x14ac:dyDescent="0.35">
      <c r="E66" t="e">
        <f t="shared" si="54"/>
        <v>#DIV/0!</v>
      </c>
      <c r="H66">
        <f t="shared" si="55"/>
        <v>0</v>
      </c>
      <c r="L66">
        <f t="shared" si="16"/>
        <v>0</v>
      </c>
      <c r="M66">
        <f t="shared" si="56"/>
        <v>0</v>
      </c>
      <c r="O66">
        <f t="shared" si="57"/>
        <v>0</v>
      </c>
    </row>
    <row r="67" spans="1:15" x14ac:dyDescent="0.35">
      <c r="E67" t="e">
        <f t="shared" si="54"/>
        <v>#DIV/0!</v>
      </c>
      <c r="H67">
        <f t="shared" si="55"/>
        <v>0</v>
      </c>
      <c r="L67">
        <f t="shared" si="16"/>
        <v>0</v>
      </c>
      <c r="M67">
        <f t="shared" si="56"/>
        <v>0</v>
      </c>
      <c r="O67">
        <f t="shared" si="57"/>
        <v>0</v>
      </c>
    </row>
    <row r="68" spans="1:15" x14ac:dyDescent="0.35">
      <c r="E68" t="e">
        <f t="shared" si="54"/>
        <v>#DIV/0!</v>
      </c>
      <c r="H68">
        <f t="shared" si="55"/>
        <v>0</v>
      </c>
      <c r="L68">
        <f t="shared" si="16"/>
        <v>0</v>
      </c>
      <c r="M68">
        <f t="shared" si="56"/>
        <v>0</v>
      </c>
      <c r="O68">
        <f t="shared" si="57"/>
        <v>0</v>
      </c>
    </row>
    <row r="69" spans="1:15" x14ac:dyDescent="0.35">
      <c r="E69" t="e">
        <f t="shared" si="54"/>
        <v>#DIV/0!</v>
      </c>
      <c r="H69">
        <f t="shared" si="55"/>
        <v>0</v>
      </c>
      <c r="L69">
        <f t="shared" si="16"/>
        <v>0</v>
      </c>
      <c r="M69">
        <f t="shared" si="56"/>
        <v>0</v>
      </c>
      <c r="O69">
        <f t="shared" si="57"/>
        <v>0</v>
      </c>
    </row>
    <row r="70" spans="1:15" x14ac:dyDescent="0.35">
      <c r="E70" t="e">
        <f t="shared" si="54"/>
        <v>#DIV/0!</v>
      </c>
      <c r="H70">
        <f t="shared" si="55"/>
        <v>0</v>
      </c>
      <c r="L70">
        <f t="shared" si="16"/>
        <v>0</v>
      </c>
      <c r="M70">
        <f t="shared" si="56"/>
        <v>0</v>
      </c>
      <c r="O70">
        <f t="shared" si="57"/>
        <v>0</v>
      </c>
    </row>
    <row r="71" spans="1:15" x14ac:dyDescent="0.35">
      <c r="E71" t="e">
        <f t="shared" si="54"/>
        <v>#DIV/0!</v>
      </c>
      <c r="H71">
        <f t="shared" si="55"/>
        <v>0</v>
      </c>
      <c r="L71">
        <f t="shared" si="16"/>
        <v>0</v>
      </c>
      <c r="M71">
        <f t="shared" si="56"/>
        <v>0</v>
      </c>
      <c r="O71">
        <f t="shared" si="57"/>
        <v>0</v>
      </c>
    </row>
    <row r="72" spans="1:15" x14ac:dyDescent="0.35">
      <c r="E72" t="e">
        <f t="shared" si="54"/>
        <v>#DIV/0!</v>
      </c>
      <c r="H72">
        <f t="shared" si="55"/>
        <v>0</v>
      </c>
      <c r="L72">
        <f t="shared" si="16"/>
        <v>0</v>
      </c>
      <c r="M72">
        <f t="shared" si="56"/>
        <v>0</v>
      </c>
      <c r="O72">
        <f t="shared" si="57"/>
        <v>0</v>
      </c>
    </row>
    <row r="73" spans="1:15" x14ac:dyDescent="0.35">
      <c r="E73" t="e">
        <f t="shared" si="54"/>
        <v>#DIV/0!</v>
      </c>
      <c r="H73">
        <f t="shared" si="55"/>
        <v>0</v>
      </c>
      <c r="L73">
        <f t="shared" si="16"/>
        <v>0</v>
      </c>
      <c r="M73">
        <f t="shared" si="56"/>
        <v>0</v>
      </c>
      <c r="O73">
        <f t="shared" si="57"/>
        <v>0</v>
      </c>
    </row>
    <row r="74" spans="1:15" x14ac:dyDescent="0.35">
      <c r="E74" t="e">
        <f t="shared" si="54"/>
        <v>#DIV/0!</v>
      </c>
      <c r="H74">
        <f t="shared" si="55"/>
        <v>0</v>
      </c>
      <c r="L74">
        <f t="shared" si="16"/>
        <v>0</v>
      </c>
      <c r="M74">
        <f t="shared" si="56"/>
        <v>0</v>
      </c>
      <c r="O74">
        <f t="shared" si="57"/>
        <v>0</v>
      </c>
    </row>
    <row r="75" spans="1:15" x14ac:dyDescent="0.35">
      <c r="E75" t="e">
        <f t="shared" si="54"/>
        <v>#DIV/0!</v>
      </c>
      <c r="H75">
        <f t="shared" si="55"/>
        <v>0</v>
      </c>
      <c r="M75">
        <f t="shared" si="56"/>
        <v>0</v>
      </c>
      <c r="O75">
        <f t="shared" si="57"/>
        <v>0</v>
      </c>
    </row>
    <row r="76" spans="1:15" x14ac:dyDescent="0.35">
      <c r="E76" t="e">
        <f t="shared" si="54"/>
        <v>#DIV/0!</v>
      </c>
      <c r="H76">
        <f t="shared" si="55"/>
        <v>0</v>
      </c>
      <c r="M76">
        <f t="shared" si="56"/>
        <v>0</v>
      </c>
      <c r="O76">
        <f t="shared" si="57"/>
        <v>0</v>
      </c>
    </row>
    <row r="77" spans="1:15" x14ac:dyDescent="0.35">
      <c r="E77" t="e">
        <f t="shared" si="54"/>
        <v>#DIV/0!</v>
      </c>
      <c r="H77">
        <f t="shared" si="55"/>
        <v>0</v>
      </c>
      <c r="M77">
        <f t="shared" si="56"/>
        <v>0</v>
      </c>
      <c r="O77">
        <f t="shared" si="57"/>
        <v>0</v>
      </c>
    </row>
    <row r="78" spans="1:15" x14ac:dyDescent="0.35">
      <c r="E78" t="e">
        <f t="shared" si="54"/>
        <v>#DIV/0!</v>
      </c>
      <c r="H78">
        <f t="shared" si="55"/>
        <v>0</v>
      </c>
      <c r="M78">
        <f t="shared" si="56"/>
        <v>0</v>
      </c>
      <c r="O78">
        <f t="shared" si="57"/>
        <v>0</v>
      </c>
    </row>
    <row r="79" spans="1:15" x14ac:dyDescent="0.35">
      <c r="E79" t="e">
        <f t="shared" si="54"/>
        <v>#DIV/0!</v>
      </c>
      <c r="H79">
        <f t="shared" si="55"/>
        <v>0</v>
      </c>
      <c r="M79">
        <f t="shared" si="56"/>
        <v>0</v>
      </c>
      <c r="O79">
        <f t="shared" si="57"/>
        <v>0</v>
      </c>
    </row>
    <row r="80" spans="1:15" x14ac:dyDescent="0.35">
      <c r="E80" t="e">
        <f t="shared" si="54"/>
        <v>#DIV/0!</v>
      </c>
      <c r="H80">
        <f t="shared" si="55"/>
        <v>0</v>
      </c>
      <c r="M80">
        <f t="shared" si="56"/>
        <v>0</v>
      </c>
      <c r="O80">
        <f t="shared" si="57"/>
        <v>0</v>
      </c>
    </row>
    <row r="81" spans="5:15" x14ac:dyDescent="0.35">
      <c r="E81" t="e">
        <f t="shared" si="54"/>
        <v>#DIV/0!</v>
      </c>
      <c r="H81">
        <f t="shared" si="55"/>
        <v>0</v>
      </c>
      <c r="M81">
        <f t="shared" si="56"/>
        <v>0</v>
      </c>
      <c r="O81">
        <f t="shared" si="57"/>
        <v>0</v>
      </c>
    </row>
    <row r="82" spans="5:15" x14ac:dyDescent="0.35">
      <c r="E82" t="e">
        <f t="shared" si="54"/>
        <v>#DIV/0!</v>
      </c>
      <c r="H82">
        <f t="shared" si="55"/>
        <v>0</v>
      </c>
      <c r="M82">
        <f t="shared" si="56"/>
        <v>0</v>
      </c>
      <c r="O82">
        <f t="shared" si="57"/>
        <v>0</v>
      </c>
    </row>
    <row r="83" spans="5:15" x14ac:dyDescent="0.35">
      <c r="E83" t="e">
        <f t="shared" si="54"/>
        <v>#DIV/0!</v>
      </c>
      <c r="H83">
        <f t="shared" si="55"/>
        <v>0</v>
      </c>
      <c r="M83">
        <f t="shared" si="56"/>
        <v>0</v>
      </c>
      <c r="O83">
        <f t="shared" si="57"/>
        <v>0</v>
      </c>
    </row>
    <row r="84" spans="5:15" x14ac:dyDescent="0.35">
      <c r="E84" t="e">
        <f t="shared" si="54"/>
        <v>#DIV/0!</v>
      </c>
      <c r="H84">
        <f t="shared" si="55"/>
        <v>0</v>
      </c>
      <c r="M84">
        <f t="shared" si="56"/>
        <v>0</v>
      </c>
      <c r="O84">
        <f t="shared" si="57"/>
        <v>0</v>
      </c>
    </row>
    <row r="85" spans="5:15" x14ac:dyDescent="0.35">
      <c r="E85" t="e">
        <f t="shared" si="54"/>
        <v>#DIV/0!</v>
      </c>
      <c r="H85">
        <f t="shared" si="55"/>
        <v>0</v>
      </c>
      <c r="M85">
        <f t="shared" si="56"/>
        <v>0</v>
      </c>
      <c r="O85">
        <f t="shared" si="57"/>
        <v>0</v>
      </c>
    </row>
    <row r="86" spans="5:15" x14ac:dyDescent="0.35">
      <c r="E86" t="e">
        <f t="shared" si="54"/>
        <v>#DIV/0!</v>
      </c>
      <c r="H86">
        <f t="shared" si="55"/>
        <v>0</v>
      </c>
      <c r="M86">
        <f t="shared" si="56"/>
        <v>0</v>
      </c>
      <c r="O86">
        <f t="shared" si="57"/>
        <v>0</v>
      </c>
    </row>
    <row r="87" spans="5:15" x14ac:dyDescent="0.35">
      <c r="E87" t="e">
        <f t="shared" si="54"/>
        <v>#DIV/0!</v>
      </c>
      <c r="H87">
        <f t="shared" si="55"/>
        <v>0</v>
      </c>
      <c r="M87">
        <f t="shared" si="56"/>
        <v>0</v>
      </c>
      <c r="O87">
        <f t="shared" si="57"/>
        <v>0</v>
      </c>
    </row>
    <row r="88" spans="5:15" x14ac:dyDescent="0.35">
      <c r="E88" t="e">
        <f t="shared" si="54"/>
        <v>#DIV/0!</v>
      </c>
      <c r="H88">
        <f t="shared" si="55"/>
        <v>0</v>
      </c>
      <c r="M88">
        <f t="shared" si="56"/>
        <v>0</v>
      </c>
      <c r="O88">
        <f t="shared" si="57"/>
        <v>0</v>
      </c>
    </row>
  </sheetData>
  <sortState xmlns:xlrd2="http://schemas.microsoft.com/office/spreadsheetml/2017/richdata2" ref="A6:O84">
    <sortCondition ref="A30:A84"/>
  </sortState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83"/>
  <sheetViews>
    <sheetView topLeftCell="A28" workbookViewId="0">
      <selection activeCell="H39" sqref="H39"/>
    </sheetView>
  </sheetViews>
  <sheetFormatPr defaultRowHeight="14.5" x14ac:dyDescent="0.35"/>
  <cols>
    <col min="1" max="1" width="25.54296875" style="3" customWidth="1"/>
  </cols>
  <sheetData>
    <row r="1" spans="1:27" x14ac:dyDescent="0.35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4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35">
      <c r="A3" s="3" t="s">
        <v>232</v>
      </c>
      <c r="B3">
        <f>1+1+1</f>
        <v>3</v>
      </c>
      <c r="C3">
        <f>1+1+1+1</f>
        <v>4</v>
      </c>
      <c r="D3">
        <f>0</f>
        <v>0</v>
      </c>
      <c r="E3" s="2">
        <f t="shared" ref="E3" si="0">(B3)/(B3+C3+D3)</f>
        <v>0.42857142857142855</v>
      </c>
      <c r="F3">
        <f>0+8+6+7+11+8+4</f>
        <v>44</v>
      </c>
      <c r="G3">
        <f>10+11+7+0+0+2+11</f>
        <v>41</v>
      </c>
      <c r="H3">
        <f t="shared" ref="H3" si="1">F3-G3</f>
        <v>3</v>
      </c>
      <c r="J3">
        <f>40</f>
        <v>40</v>
      </c>
      <c r="K3">
        <f>20</f>
        <v>20</v>
      </c>
      <c r="L3">
        <f t="shared" ref="L3" si="2">B3*10</f>
        <v>30</v>
      </c>
      <c r="M3">
        <f t="shared" ref="M3" si="3">D3*5</f>
        <v>0</v>
      </c>
      <c r="N3">
        <f>10+10</f>
        <v>20</v>
      </c>
      <c r="O3">
        <f t="shared" ref="O3" si="4">SUM(I3:N3)</f>
        <v>110</v>
      </c>
    </row>
    <row r="4" spans="1:27" x14ac:dyDescent="0.35">
      <c r="A4" s="3" t="s">
        <v>86</v>
      </c>
      <c r="B4">
        <f>1</f>
        <v>1</v>
      </c>
      <c r="C4">
        <f>2</f>
        <v>2</v>
      </c>
      <c r="D4">
        <f>0</f>
        <v>0</v>
      </c>
      <c r="E4" s="2">
        <f t="shared" ref="E4:E53" si="5">(B4)/(B4+C4+D4)</f>
        <v>0.33333333333333331</v>
      </c>
      <c r="F4">
        <f>6+10+1</f>
        <v>17</v>
      </c>
      <c r="G4">
        <f>7+6+2</f>
        <v>15</v>
      </c>
      <c r="H4">
        <f t="shared" ref="H4:H53" si="6">F4-G4</f>
        <v>2</v>
      </c>
      <c r="K4">
        <f>20</f>
        <v>20</v>
      </c>
      <c r="L4">
        <f t="shared" ref="L4:L53" si="7">B4*10</f>
        <v>10</v>
      </c>
      <c r="M4">
        <f t="shared" ref="M4:M53" si="8">D4*5</f>
        <v>0</v>
      </c>
      <c r="N4">
        <f>10</f>
        <v>10</v>
      </c>
      <c r="O4">
        <f t="shared" ref="O4:O53" si="9">SUM(I4:N4)</f>
        <v>40</v>
      </c>
    </row>
    <row r="5" spans="1:27" x14ac:dyDescent="0.35">
      <c r="A5" s="3" t="s">
        <v>268</v>
      </c>
      <c r="B5">
        <f>0</f>
        <v>0</v>
      </c>
      <c r="C5">
        <f>1+1+1</f>
        <v>3</v>
      </c>
      <c r="D5">
        <f>0</f>
        <v>0</v>
      </c>
      <c r="E5" s="2">
        <f t="shared" ref="E5" si="10">(B5)/(B5+C5+D5)</f>
        <v>0</v>
      </c>
      <c r="F5">
        <f>4+0+3</f>
        <v>7</v>
      </c>
      <c r="G5">
        <f>9+18+9</f>
        <v>36</v>
      </c>
      <c r="H5">
        <f t="shared" ref="H5" si="11">F5-G5</f>
        <v>-29</v>
      </c>
      <c r="L5">
        <f t="shared" ref="L5" si="12">B5*10</f>
        <v>0</v>
      </c>
      <c r="M5">
        <f t="shared" ref="M5" si="13">D5*5</f>
        <v>0</v>
      </c>
      <c r="N5">
        <f>10</f>
        <v>10</v>
      </c>
      <c r="O5">
        <f t="shared" ref="O5" si="14">SUM(I5:N5)</f>
        <v>10</v>
      </c>
    </row>
    <row r="6" spans="1:27" x14ac:dyDescent="0.35">
      <c r="A6" s="3" t="s">
        <v>120</v>
      </c>
      <c r="B6">
        <f>3</f>
        <v>3</v>
      </c>
      <c r="C6">
        <f>4</f>
        <v>4</v>
      </c>
      <c r="D6">
        <f>0</f>
        <v>0</v>
      </c>
      <c r="E6" s="2">
        <f t="shared" si="5"/>
        <v>0.42857142857142855</v>
      </c>
      <c r="F6">
        <f>4+2+2+0+14+19+17</f>
        <v>58</v>
      </c>
      <c r="G6">
        <f>9+12+7+11+6+4+6</f>
        <v>55</v>
      </c>
      <c r="H6">
        <f t="shared" si="6"/>
        <v>3</v>
      </c>
      <c r="I6">
        <f>60</f>
        <v>60</v>
      </c>
      <c r="L6">
        <f t="shared" si="7"/>
        <v>30</v>
      </c>
      <c r="M6">
        <f t="shared" si="8"/>
        <v>0</v>
      </c>
      <c r="N6">
        <f>20</f>
        <v>20</v>
      </c>
      <c r="O6">
        <f t="shared" si="9"/>
        <v>110</v>
      </c>
    </row>
    <row r="7" spans="1:27" x14ac:dyDescent="0.35">
      <c r="A7" s="3" t="s">
        <v>39</v>
      </c>
      <c r="B7">
        <f>0</f>
        <v>0</v>
      </c>
      <c r="C7">
        <f>3</f>
        <v>3</v>
      </c>
      <c r="D7">
        <f>0</f>
        <v>0</v>
      </c>
      <c r="E7" s="2">
        <f t="shared" si="5"/>
        <v>0</v>
      </c>
      <c r="F7">
        <f>12+2+6</f>
        <v>20</v>
      </c>
      <c r="G7">
        <f>16+8+7</f>
        <v>31</v>
      </c>
      <c r="H7">
        <f t="shared" si="6"/>
        <v>-11</v>
      </c>
      <c r="L7">
        <f t="shared" si="7"/>
        <v>0</v>
      </c>
      <c r="M7">
        <f t="shared" si="8"/>
        <v>0</v>
      </c>
      <c r="N7">
        <f>10</f>
        <v>10</v>
      </c>
      <c r="O7">
        <f t="shared" si="9"/>
        <v>10</v>
      </c>
    </row>
    <row r="8" spans="1:27" x14ac:dyDescent="0.35">
      <c r="A8" s="3" t="s">
        <v>112</v>
      </c>
      <c r="B8">
        <f>2</f>
        <v>2</v>
      </c>
      <c r="C8">
        <f>2</f>
        <v>2</v>
      </c>
      <c r="D8">
        <f>0</f>
        <v>0</v>
      </c>
      <c r="E8" s="2">
        <f t="shared" si="5"/>
        <v>0.5</v>
      </c>
      <c r="F8">
        <f>16+14+5+3</f>
        <v>38</v>
      </c>
      <c r="G8">
        <f>4+2+7+12</f>
        <v>25</v>
      </c>
      <c r="H8">
        <f t="shared" si="6"/>
        <v>13</v>
      </c>
      <c r="L8">
        <f t="shared" si="7"/>
        <v>20</v>
      </c>
      <c r="M8">
        <f t="shared" si="8"/>
        <v>0</v>
      </c>
      <c r="N8">
        <f>10</f>
        <v>10</v>
      </c>
      <c r="O8">
        <f t="shared" si="9"/>
        <v>30</v>
      </c>
    </row>
    <row r="9" spans="1:27" x14ac:dyDescent="0.35">
      <c r="A9" s="3" t="s">
        <v>106</v>
      </c>
      <c r="B9">
        <f>1</f>
        <v>1</v>
      </c>
      <c r="C9">
        <f>12</f>
        <v>12</v>
      </c>
      <c r="D9">
        <f>0</f>
        <v>0</v>
      </c>
      <c r="E9" s="2">
        <f t="shared" si="5"/>
        <v>7.6923076923076927E-2</v>
      </c>
      <c r="F9">
        <f>0+2+3+4+0+2+4+7+1+2+0+5+9</f>
        <v>39</v>
      </c>
      <c r="G9">
        <f>11+6+4+10+12+9+11+6+11+14+15+15+13</f>
        <v>137</v>
      </c>
      <c r="H9">
        <f t="shared" si="6"/>
        <v>-98</v>
      </c>
      <c r="K9">
        <f>20</f>
        <v>20</v>
      </c>
      <c r="L9">
        <f t="shared" si="7"/>
        <v>10</v>
      </c>
      <c r="M9">
        <f t="shared" si="8"/>
        <v>0</v>
      </c>
      <c r="N9">
        <f>40</f>
        <v>40</v>
      </c>
      <c r="O9">
        <f t="shared" si="9"/>
        <v>70</v>
      </c>
    </row>
    <row r="10" spans="1:27" x14ac:dyDescent="0.35">
      <c r="A10" s="3" t="s">
        <v>218</v>
      </c>
      <c r="B10">
        <f>1+1+1+1+1+1+1+1</f>
        <v>8</v>
      </c>
      <c r="C10">
        <f>1+1+1</f>
        <v>3</v>
      </c>
      <c r="D10">
        <f>0</f>
        <v>0</v>
      </c>
      <c r="E10" s="2">
        <f t="shared" ref="E10" si="15">(B10)/(B10+C10+D10)</f>
        <v>0.72727272727272729</v>
      </c>
      <c r="F10">
        <f>6+11+5+1+8+10+10+5+10+9+7</f>
        <v>82</v>
      </c>
      <c r="G10">
        <f>5+8+7+11+1+2+11+2+1+1+0</f>
        <v>49</v>
      </c>
      <c r="H10">
        <f t="shared" ref="H10" si="16">F10-G10</f>
        <v>33</v>
      </c>
      <c r="I10">
        <f>60</f>
        <v>60</v>
      </c>
      <c r="J10">
        <f>40+40</f>
        <v>80</v>
      </c>
      <c r="L10">
        <f t="shared" ref="L10" si="17">B10*10</f>
        <v>80</v>
      </c>
      <c r="M10">
        <f t="shared" ref="M10" si="18">D10*5</f>
        <v>0</v>
      </c>
      <c r="N10">
        <f>10+10+10</f>
        <v>30</v>
      </c>
      <c r="O10">
        <f t="shared" ref="O10" si="19">SUM(I10:N10)</f>
        <v>250</v>
      </c>
    </row>
    <row r="11" spans="1:27" x14ac:dyDescent="0.35">
      <c r="A11" s="3" t="s">
        <v>125</v>
      </c>
      <c r="B11">
        <f>0+1</f>
        <v>1</v>
      </c>
      <c r="C11">
        <f>1</f>
        <v>1</v>
      </c>
      <c r="D11">
        <f>1</f>
        <v>1</v>
      </c>
      <c r="E11" s="2">
        <f t="shared" ref="E11" si="20">(B11)/(B11+C11+D11)</f>
        <v>0.33333333333333331</v>
      </c>
      <c r="F11">
        <f>1+3+4</f>
        <v>8</v>
      </c>
      <c r="G11">
        <f>2+3+1</f>
        <v>6</v>
      </c>
      <c r="H11">
        <f t="shared" ref="H11" si="21">F11-G11</f>
        <v>2</v>
      </c>
      <c r="I11">
        <f>60</f>
        <v>60</v>
      </c>
      <c r="L11">
        <f t="shared" ref="L11" si="22">B11*10</f>
        <v>10</v>
      </c>
      <c r="M11">
        <f t="shared" ref="M11" si="23">D11*5</f>
        <v>5</v>
      </c>
      <c r="N11">
        <f>10</f>
        <v>10</v>
      </c>
      <c r="O11">
        <f t="shared" ref="O11" si="24">SUM(I11:N11)</f>
        <v>85</v>
      </c>
    </row>
    <row r="12" spans="1:27" x14ac:dyDescent="0.35">
      <c r="A12" s="3" t="s">
        <v>135</v>
      </c>
      <c r="B12">
        <f>2</f>
        <v>2</v>
      </c>
      <c r="C12">
        <f>1</f>
        <v>1</v>
      </c>
      <c r="D12">
        <f>0</f>
        <v>0</v>
      </c>
      <c r="E12" s="2">
        <f t="shared" si="5"/>
        <v>0.66666666666666663</v>
      </c>
      <c r="F12">
        <f>5+18+4</f>
        <v>27</v>
      </c>
      <c r="G12">
        <f>3+1+10</f>
        <v>14</v>
      </c>
      <c r="H12">
        <f t="shared" si="6"/>
        <v>13</v>
      </c>
      <c r="K12">
        <f>20</f>
        <v>20</v>
      </c>
      <c r="L12">
        <f t="shared" si="7"/>
        <v>20</v>
      </c>
      <c r="M12">
        <f t="shared" si="8"/>
        <v>0</v>
      </c>
      <c r="N12">
        <f>10</f>
        <v>10</v>
      </c>
      <c r="O12">
        <f t="shared" si="9"/>
        <v>50</v>
      </c>
    </row>
    <row r="13" spans="1:27" x14ac:dyDescent="0.35">
      <c r="A13" s="3" t="s">
        <v>133</v>
      </c>
      <c r="B13">
        <f>3</f>
        <v>3</v>
      </c>
      <c r="C13">
        <f>1</f>
        <v>1</v>
      </c>
      <c r="D13">
        <f>0</f>
        <v>0</v>
      </c>
      <c r="E13" s="2">
        <f t="shared" si="5"/>
        <v>0.75</v>
      </c>
      <c r="F13">
        <f>11+5+16+4</f>
        <v>36</v>
      </c>
      <c r="G13">
        <f>0+3+4+5</f>
        <v>12</v>
      </c>
      <c r="H13">
        <f t="shared" si="6"/>
        <v>24</v>
      </c>
      <c r="J13">
        <f>40</f>
        <v>40</v>
      </c>
      <c r="L13">
        <f t="shared" si="7"/>
        <v>30</v>
      </c>
      <c r="M13">
        <f t="shared" si="8"/>
        <v>0</v>
      </c>
      <c r="N13">
        <f>10</f>
        <v>10</v>
      </c>
      <c r="O13">
        <f t="shared" si="9"/>
        <v>80</v>
      </c>
    </row>
    <row r="14" spans="1:27" x14ac:dyDescent="0.35">
      <c r="A14" s="3" t="s">
        <v>124</v>
      </c>
      <c r="B14">
        <f>0</f>
        <v>0</v>
      </c>
      <c r="C14">
        <f>4</f>
        <v>4</v>
      </c>
      <c r="D14">
        <f>0</f>
        <v>0</v>
      </c>
      <c r="E14" s="2">
        <f t="shared" si="5"/>
        <v>0</v>
      </c>
      <c r="F14">
        <f>6+6+7+3</f>
        <v>22</v>
      </c>
      <c r="G14">
        <f>11+12+9+11</f>
        <v>43</v>
      </c>
      <c r="H14">
        <f t="shared" si="6"/>
        <v>-21</v>
      </c>
      <c r="L14">
        <f t="shared" si="7"/>
        <v>0</v>
      </c>
      <c r="M14">
        <f t="shared" si="8"/>
        <v>0</v>
      </c>
      <c r="N14">
        <f>20</f>
        <v>20</v>
      </c>
      <c r="O14">
        <f t="shared" si="9"/>
        <v>20</v>
      </c>
    </row>
    <row r="15" spans="1:27" x14ac:dyDescent="0.35">
      <c r="A15" s="3" t="s">
        <v>105</v>
      </c>
      <c r="B15">
        <f>2</f>
        <v>2</v>
      </c>
      <c r="C15">
        <f>2</f>
        <v>2</v>
      </c>
      <c r="D15">
        <f>0</f>
        <v>0</v>
      </c>
      <c r="E15" s="2">
        <f t="shared" si="5"/>
        <v>0.5</v>
      </c>
      <c r="F15">
        <f>11+0+12+5</f>
        <v>28</v>
      </c>
      <c r="G15">
        <f>0+8+0+6</f>
        <v>14</v>
      </c>
      <c r="H15">
        <f t="shared" si="6"/>
        <v>14</v>
      </c>
      <c r="K15">
        <f>20</f>
        <v>20</v>
      </c>
      <c r="L15">
        <f t="shared" si="7"/>
        <v>20</v>
      </c>
      <c r="M15">
        <f t="shared" si="8"/>
        <v>0</v>
      </c>
      <c r="N15">
        <f>10</f>
        <v>10</v>
      </c>
      <c r="O15">
        <f t="shared" si="9"/>
        <v>50</v>
      </c>
    </row>
    <row r="16" spans="1:27" x14ac:dyDescent="0.35">
      <c r="A16" s="3" t="s">
        <v>111</v>
      </c>
      <c r="B16">
        <f>7</f>
        <v>7</v>
      </c>
      <c r="C16">
        <f>6</f>
        <v>6</v>
      </c>
      <c r="D16">
        <f>0</f>
        <v>0</v>
      </c>
      <c r="E16" s="2">
        <f t="shared" si="5"/>
        <v>0.53846153846153844</v>
      </c>
      <c r="F16">
        <f>7+2+8+10+12+3+6+5+6+16+10+14+6</f>
        <v>105</v>
      </c>
      <c r="G16">
        <f>11+14+7+4+7+15+14+3+17+12+3+2+7</f>
        <v>116</v>
      </c>
      <c r="H16">
        <f t="shared" si="6"/>
        <v>-11</v>
      </c>
      <c r="I16">
        <f>60</f>
        <v>60</v>
      </c>
      <c r="J16">
        <f>80</f>
        <v>80</v>
      </c>
      <c r="L16">
        <f t="shared" si="7"/>
        <v>70</v>
      </c>
      <c r="M16">
        <f t="shared" si="8"/>
        <v>0</v>
      </c>
      <c r="N16">
        <f>30</f>
        <v>30</v>
      </c>
      <c r="O16">
        <f t="shared" si="9"/>
        <v>240</v>
      </c>
    </row>
    <row r="17" spans="1:15" x14ac:dyDescent="0.35">
      <c r="A17" s="3" t="s">
        <v>63</v>
      </c>
      <c r="B17">
        <f>1+1+1</f>
        <v>3</v>
      </c>
      <c r="C17">
        <f>1+1+1+1</f>
        <v>4</v>
      </c>
      <c r="D17">
        <f>0</f>
        <v>0</v>
      </c>
      <c r="E17" s="2">
        <f t="shared" si="5"/>
        <v>0.42857142857142855</v>
      </c>
      <c r="F17">
        <f>14+9+8+0+2+5+2</f>
        <v>40</v>
      </c>
      <c r="G17">
        <f>1+0+3+7+16+10+4</f>
        <v>41</v>
      </c>
      <c r="H17">
        <f t="shared" si="6"/>
        <v>-1</v>
      </c>
      <c r="J17">
        <f>40</f>
        <v>40</v>
      </c>
      <c r="K17">
        <f>20</f>
        <v>20</v>
      </c>
      <c r="L17">
        <f t="shared" si="7"/>
        <v>30</v>
      </c>
      <c r="M17">
        <f t="shared" si="8"/>
        <v>0</v>
      </c>
      <c r="N17">
        <f>10+10</f>
        <v>20</v>
      </c>
      <c r="O17">
        <f t="shared" si="9"/>
        <v>110</v>
      </c>
    </row>
    <row r="18" spans="1:15" x14ac:dyDescent="0.35">
      <c r="A18" s="3" t="s">
        <v>257</v>
      </c>
      <c r="B18">
        <f>0</f>
        <v>0</v>
      </c>
      <c r="C18">
        <f>1+1+1</f>
        <v>3</v>
      </c>
      <c r="D18">
        <f>0</f>
        <v>0</v>
      </c>
      <c r="E18" s="2">
        <f t="shared" si="5"/>
        <v>0</v>
      </c>
      <c r="F18">
        <f>0+1+2</f>
        <v>3</v>
      </c>
      <c r="G18">
        <f>15+8+10</f>
        <v>33</v>
      </c>
      <c r="H18">
        <f t="shared" si="6"/>
        <v>-30</v>
      </c>
      <c r="K18">
        <f>20</f>
        <v>20</v>
      </c>
      <c r="L18">
        <f t="shared" si="7"/>
        <v>0</v>
      </c>
      <c r="M18">
        <f t="shared" si="8"/>
        <v>0</v>
      </c>
      <c r="N18">
        <f>10</f>
        <v>10</v>
      </c>
      <c r="O18">
        <f t="shared" si="9"/>
        <v>30</v>
      </c>
    </row>
    <row r="19" spans="1:15" x14ac:dyDescent="0.35">
      <c r="A19" s="3" t="s">
        <v>119</v>
      </c>
      <c r="B19">
        <f>2</f>
        <v>2</v>
      </c>
      <c r="C19">
        <f>2</f>
        <v>2</v>
      </c>
      <c r="D19">
        <f>0</f>
        <v>0</v>
      </c>
      <c r="E19" s="2">
        <f t="shared" si="5"/>
        <v>0.5</v>
      </c>
      <c r="F19">
        <f>9+2+2+0</f>
        <v>13</v>
      </c>
      <c r="G19">
        <f>4+10+1+4</f>
        <v>19</v>
      </c>
      <c r="H19">
        <f t="shared" si="6"/>
        <v>-6</v>
      </c>
      <c r="J19">
        <f>40</f>
        <v>40</v>
      </c>
      <c r="L19">
        <f t="shared" si="7"/>
        <v>20</v>
      </c>
      <c r="M19">
        <f t="shared" si="8"/>
        <v>0</v>
      </c>
      <c r="N19">
        <f>10</f>
        <v>10</v>
      </c>
      <c r="O19">
        <f t="shared" si="9"/>
        <v>70</v>
      </c>
    </row>
    <row r="20" spans="1:15" x14ac:dyDescent="0.35">
      <c r="A20" s="3" t="s">
        <v>201</v>
      </c>
      <c r="B20">
        <f>1+1+1+1+1+1+1+1+1</f>
        <v>9</v>
      </c>
      <c r="C20">
        <f>1+1</f>
        <v>2</v>
      </c>
      <c r="D20">
        <f>0</f>
        <v>0</v>
      </c>
      <c r="E20" s="2">
        <f t="shared" ref="E20" si="25">(B20)/(B20+C20+D20)</f>
        <v>0.81818181818181823</v>
      </c>
      <c r="F20">
        <f>9+15+5+6+5+9+4+16+18+9+5</f>
        <v>101</v>
      </c>
      <c r="G20">
        <f>8+9+3+5+13+0+7+2+0+3+3</f>
        <v>53</v>
      </c>
      <c r="H20">
        <f>F20-G20</f>
        <v>48</v>
      </c>
      <c r="I20">
        <f>60+60</f>
        <v>120</v>
      </c>
      <c r="K20">
        <f>20</f>
        <v>20</v>
      </c>
      <c r="L20">
        <f t="shared" ref="L20" si="26">B20*10</f>
        <v>90</v>
      </c>
      <c r="M20">
        <f t="shared" ref="M20" si="27">D20*5</f>
        <v>0</v>
      </c>
      <c r="N20">
        <f>10+10+10</f>
        <v>30</v>
      </c>
      <c r="O20">
        <f t="shared" ref="O20" si="28">SUM(I20:N20)</f>
        <v>260</v>
      </c>
    </row>
    <row r="21" spans="1:15" x14ac:dyDescent="0.35">
      <c r="A21" s="3" t="s">
        <v>108</v>
      </c>
      <c r="B21">
        <f>13</f>
        <v>13</v>
      </c>
      <c r="C21">
        <f>8</f>
        <v>8</v>
      </c>
      <c r="D21">
        <f>0</f>
        <v>0</v>
      </c>
      <c r="E21" s="2">
        <f t="shared" si="5"/>
        <v>0.61904761904761907</v>
      </c>
      <c r="F21">
        <f>5+6+1+12+0+12+11+16+7+7+2+15+3+13+4+3+6+15+10+2</f>
        <v>150</v>
      </c>
      <c r="G21">
        <f>3+2+1+3+10+0+6+1+2+0+7+0+5+7+2+17+14+4+5+19</f>
        <v>108</v>
      </c>
      <c r="H21">
        <f t="shared" si="6"/>
        <v>42</v>
      </c>
      <c r="I21">
        <f>60</f>
        <v>60</v>
      </c>
      <c r="J21">
        <f>80</f>
        <v>80</v>
      </c>
      <c r="K21">
        <f>20</f>
        <v>20</v>
      </c>
      <c r="L21">
        <f t="shared" si="7"/>
        <v>130</v>
      </c>
      <c r="M21">
        <f t="shared" si="8"/>
        <v>0</v>
      </c>
      <c r="N21">
        <f>50</f>
        <v>50</v>
      </c>
      <c r="O21">
        <f t="shared" si="9"/>
        <v>340</v>
      </c>
    </row>
    <row r="22" spans="1:15" x14ac:dyDescent="0.35">
      <c r="A22" s="3" t="s">
        <v>256</v>
      </c>
      <c r="B22">
        <f>1+1+1</f>
        <v>3</v>
      </c>
      <c r="C22">
        <f>0</f>
        <v>0</v>
      </c>
      <c r="D22">
        <f>0</f>
        <v>0</v>
      </c>
      <c r="E22" s="2">
        <f t="shared" ref="E22" si="29">(B22)/(B22+C22+D22)</f>
        <v>1</v>
      </c>
      <c r="F22">
        <f>15+11+11</f>
        <v>37</v>
      </c>
      <c r="G22">
        <f>0+1+10</f>
        <v>11</v>
      </c>
      <c r="H22">
        <f t="shared" ref="H22" si="30">F22-G22</f>
        <v>26</v>
      </c>
      <c r="I22">
        <f>60</f>
        <v>60</v>
      </c>
      <c r="L22">
        <f t="shared" ref="L22" si="31">B22*10</f>
        <v>30</v>
      </c>
      <c r="M22">
        <f t="shared" ref="M22" si="32">D22*5</f>
        <v>0</v>
      </c>
      <c r="N22">
        <f>10</f>
        <v>10</v>
      </c>
      <c r="O22">
        <f t="shared" ref="O22" si="33">SUM(I22:N22)</f>
        <v>100</v>
      </c>
    </row>
    <row r="23" spans="1:15" x14ac:dyDescent="0.35">
      <c r="A23" s="3" t="s">
        <v>249</v>
      </c>
      <c r="B23">
        <f>1</f>
        <v>1</v>
      </c>
      <c r="C23">
        <f>1+1</f>
        <v>2</v>
      </c>
      <c r="D23">
        <f>0</f>
        <v>0</v>
      </c>
      <c r="E23" s="2">
        <f t="shared" ref="E23" si="34">(B23)/(B23+C23+D23)</f>
        <v>0.33333333333333331</v>
      </c>
      <c r="F23">
        <f>3+8+2</f>
        <v>13</v>
      </c>
      <c r="G23">
        <f>4+7+11</f>
        <v>22</v>
      </c>
      <c r="H23">
        <f t="shared" ref="H23" si="35">F23-G23</f>
        <v>-9</v>
      </c>
      <c r="K23">
        <f>20</f>
        <v>20</v>
      </c>
      <c r="L23">
        <f t="shared" ref="L23" si="36">B23*10</f>
        <v>10</v>
      </c>
      <c r="M23">
        <f t="shared" ref="M23" si="37">D23*5</f>
        <v>0</v>
      </c>
      <c r="N23">
        <f>10</f>
        <v>10</v>
      </c>
      <c r="O23">
        <f t="shared" ref="O23" si="38">SUM(I23:N23)</f>
        <v>40</v>
      </c>
    </row>
    <row r="24" spans="1:15" x14ac:dyDescent="0.35">
      <c r="A24" s="3" t="s">
        <v>225</v>
      </c>
      <c r="B24">
        <f>1+1</f>
        <v>2</v>
      </c>
      <c r="C24">
        <f>1+1</f>
        <v>2</v>
      </c>
      <c r="D24">
        <f>0</f>
        <v>0</v>
      </c>
      <c r="E24" s="2">
        <f t="shared" ref="E24" si="39">(B24)/(B24+C24+D24)</f>
        <v>0.5</v>
      </c>
      <c r="F24">
        <f>1+9+7+0</f>
        <v>17</v>
      </c>
      <c r="G24">
        <f>14+5+4+8</f>
        <v>31</v>
      </c>
      <c r="H24">
        <f t="shared" ref="H24" si="40">F24-G24</f>
        <v>-14</v>
      </c>
      <c r="J24">
        <f>40</f>
        <v>40</v>
      </c>
      <c r="L24">
        <f t="shared" ref="L24" si="41">B24*10</f>
        <v>20</v>
      </c>
      <c r="M24">
        <f t="shared" ref="M24" si="42">D24*5</f>
        <v>0</v>
      </c>
      <c r="N24">
        <f>10</f>
        <v>10</v>
      </c>
      <c r="O24">
        <f t="shared" ref="O24" si="43">SUM(I24:N24)</f>
        <v>70</v>
      </c>
    </row>
    <row r="25" spans="1:15" x14ac:dyDescent="0.35">
      <c r="A25" s="3" t="s">
        <v>87</v>
      </c>
      <c r="B25">
        <f>2</f>
        <v>2</v>
      </c>
      <c r="C25">
        <f>2</f>
        <v>2</v>
      </c>
      <c r="D25">
        <f>0</f>
        <v>0</v>
      </c>
      <c r="E25" s="2">
        <f t="shared" si="5"/>
        <v>0.5</v>
      </c>
      <c r="F25">
        <f>7+6+2+3</f>
        <v>18</v>
      </c>
      <c r="G25">
        <f>4+10+1+8</f>
        <v>23</v>
      </c>
      <c r="H25">
        <f t="shared" si="6"/>
        <v>-5</v>
      </c>
      <c r="J25">
        <f>40</f>
        <v>40</v>
      </c>
      <c r="L25">
        <f t="shared" si="7"/>
        <v>20</v>
      </c>
      <c r="M25">
        <f t="shared" si="8"/>
        <v>0</v>
      </c>
      <c r="N25">
        <f>10</f>
        <v>10</v>
      </c>
      <c r="O25">
        <f t="shared" si="9"/>
        <v>70</v>
      </c>
    </row>
    <row r="26" spans="1:15" x14ac:dyDescent="0.35">
      <c r="A26" s="3" t="s">
        <v>155</v>
      </c>
      <c r="B26">
        <f>4</f>
        <v>4</v>
      </c>
      <c r="C26">
        <f>0</f>
        <v>0</v>
      </c>
      <c r="D26">
        <f>0</f>
        <v>0</v>
      </c>
      <c r="E26" s="2">
        <f t="shared" si="5"/>
        <v>1</v>
      </c>
      <c r="F26">
        <f>12+13+16+14</f>
        <v>55</v>
      </c>
      <c r="G26">
        <f>2+1+0+0</f>
        <v>3</v>
      </c>
      <c r="H26">
        <f t="shared" si="6"/>
        <v>52</v>
      </c>
      <c r="I26">
        <f>60</f>
        <v>60</v>
      </c>
      <c r="L26">
        <f t="shared" si="7"/>
        <v>40</v>
      </c>
      <c r="M26">
        <f t="shared" si="8"/>
        <v>0</v>
      </c>
      <c r="N26">
        <f>10</f>
        <v>10</v>
      </c>
      <c r="O26">
        <f t="shared" si="9"/>
        <v>110</v>
      </c>
    </row>
    <row r="27" spans="1:15" x14ac:dyDescent="0.35">
      <c r="A27" s="3" t="s">
        <v>202</v>
      </c>
      <c r="B27">
        <f>1+1+1+1+1+1</f>
        <v>6</v>
      </c>
      <c r="C27">
        <f>1+1</f>
        <v>2</v>
      </c>
      <c r="D27">
        <f>0</f>
        <v>0</v>
      </c>
      <c r="E27" s="2">
        <f t="shared" si="5"/>
        <v>0.75</v>
      </c>
      <c r="F27">
        <f>12+17+8+5+5+10+7+7</f>
        <v>71</v>
      </c>
      <c r="G27">
        <f>0+1+2+6+6+0+6+5</f>
        <v>26</v>
      </c>
      <c r="H27">
        <f t="shared" si="6"/>
        <v>45</v>
      </c>
      <c r="I27">
        <f>60</f>
        <v>60</v>
      </c>
      <c r="J27">
        <f>40</f>
        <v>40</v>
      </c>
      <c r="L27">
        <f t="shared" si="7"/>
        <v>60</v>
      </c>
      <c r="M27">
        <f t="shared" si="8"/>
        <v>0</v>
      </c>
      <c r="N27">
        <f>10+10</f>
        <v>20</v>
      </c>
      <c r="O27">
        <f t="shared" si="9"/>
        <v>180</v>
      </c>
    </row>
    <row r="28" spans="1:15" x14ac:dyDescent="0.35">
      <c r="A28" s="3" t="s">
        <v>173</v>
      </c>
      <c r="B28">
        <f>0</f>
        <v>0</v>
      </c>
      <c r="C28">
        <f>1+1+1</f>
        <v>3</v>
      </c>
      <c r="D28">
        <f>0</f>
        <v>0</v>
      </c>
      <c r="E28" s="2">
        <f t="shared" ref="E28" si="44">(B28)/(B28+C28+D28)</f>
        <v>0</v>
      </c>
      <c r="F28">
        <f>0+1+3</f>
        <v>4</v>
      </c>
      <c r="G28">
        <f>9+10+8</f>
        <v>27</v>
      </c>
      <c r="H28">
        <f t="shared" ref="H28" si="45">F28-G28</f>
        <v>-23</v>
      </c>
      <c r="L28">
        <f t="shared" ref="L28" si="46">B28*10</f>
        <v>0</v>
      </c>
      <c r="M28">
        <f t="shared" ref="M28" si="47">D28*5</f>
        <v>0</v>
      </c>
      <c r="N28">
        <f>10</f>
        <v>10</v>
      </c>
      <c r="O28">
        <f t="shared" ref="O28" si="48">SUM(I28:N28)</f>
        <v>10</v>
      </c>
    </row>
    <row r="29" spans="1:15" x14ac:dyDescent="0.35">
      <c r="A29" s="3" t="s">
        <v>247</v>
      </c>
      <c r="B29">
        <f>1+1+1+1</f>
        <v>4</v>
      </c>
      <c r="C29">
        <f>0</f>
        <v>0</v>
      </c>
      <c r="D29">
        <f>0</f>
        <v>0</v>
      </c>
      <c r="E29" s="2">
        <f t="shared" si="5"/>
        <v>1</v>
      </c>
      <c r="F29">
        <f>11+4+11+11</f>
        <v>37</v>
      </c>
      <c r="G29">
        <f>0+3+2+4</f>
        <v>9</v>
      </c>
      <c r="H29">
        <f t="shared" si="6"/>
        <v>28</v>
      </c>
      <c r="I29">
        <f>60</f>
        <v>60</v>
      </c>
      <c r="L29">
        <f t="shared" si="7"/>
        <v>40</v>
      </c>
      <c r="M29">
        <f t="shared" si="8"/>
        <v>0</v>
      </c>
      <c r="N29">
        <f>10</f>
        <v>10</v>
      </c>
      <c r="O29">
        <f t="shared" si="9"/>
        <v>110</v>
      </c>
    </row>
    <row r="30" spans="1:15" x14ac:dyDescent="0.35">
      <c r="A30" s="3" t="s">
        <v>69</v>
      </c>
      <c r="B30">
        <f>4+1+1+1+1+1</f>
        <v>9</v>
      </c>
      <c r="C30">
        <f>10+1+1+1+1+1</f>
        <v>15</v>
      </c>
      <c r="D30">
        <f>0</f>
        <v>0</v>
      </c>
      <c r="E30" s="2">
        <f t="shared" si="5"/>
        <v>0.375</v>
      </c>
      <c r="F30">
        <f>4+3+7+4+7+10+6+1+11+2+3+6+7+0+2+7+2+9+0+3+13+14+10+8</f>
        <v>139</v>
      </c>
      <c r="G30">
        <f>14+12+8+3+12+4+10+1+4+7+10+7+6+12+1+8+6+8+12+5+5+1+0+0</f>
        <v>156</v>
      </c>
      <c r="H30">
        <f t="shared" si="6"/>
        <v>-17</v>
      </c>
      <c r="I30">
        <f>60</f>
        <v>60</v>
      </c>
      <c r="J30">
        <f>40+40</f>
        <v>80</v>
      </c>
      <c r="K30">
        <f>20</f>
        <v>20</v>
      </c>
      <c r="L30">
        <f t="shared" si="7"/>
        <v>90</v>
      </c>
      <c r="M30">
        <f t="shared" si="8"/>
        <v>0</v>
      </c>
      <c r="N30">
        <f>30+10+10+10</f>
        <v>60</v>
      </c>
      <c r="O30">
        <f t="shared" si="9"/>
        <v>310</v>
      </c>
    </row>
    <row r="31" spans="1:15" x14ac:dyDescent="0.35">
      <c r="A31" s="3" t="s">
        <v>110</v>
      </c>
      <c r="B31">
        <f>8</f>
        <v>8</v>
      </c>
      <c r="C31">
        <f>1</f>
        <v>1</v>
      </c>
      <c r="D31">
        <f>0</f>
        <v>0</v>
      </c>
      <c r="E31" s="2">
        <f t="shared" si="5"/>
        <v>0.88888888888888884</v>
      </c>
      <c r="F31">
        <f>8+19+12+10+12+15+3+10+5</f>
        <v>94</v>
      </c>
      <c r="G31">
        <f>0+2+1+0+0+3+5+4+4</f>
        <v>19</v>
      </c>
      <c r="H31">
        <f t="shared" si="6"/>
        <v>75</v>
      </c>
      <c r="I31">
        <f>120</f>
        <v>120</v>
      </c>
      <c r="L31">
        <f t="shared" si="7"/>
        <v>80</v>
      </c>
      <c r="M31">
        <f t="shared" si="8"/>
        <v>0</v>
      </c>
      <c r="N31">
        <f>20</f>
        <v>20</v>
      </c>
      <c r="O31">
        <f t="shared" si="9"/>
        <v>220</v>
      </c>
    </row>
    <row r="32" spans="1:15" x14ac:dyDescent="0.35">
      <c r="A32" s="3" t="s">
        <v>85</v>
      </c>
      <c r="B32">
        <f>2</f>
        <v>2</v>
      </c>
      <c r="C32">
        <f>1</f>
        <v>1</v>
      </c>
      <c r="D32">
        <f>0</f>
        <v>0</v>
      </c>
      <c r="E32" s="2">
        <f t="shared" si="5"/>
        <v>0.66666666666666663</v>
      </c>
      <c r="F32">
        <f>7+4+8</f>
        <v>19</v>
      </c>
      <c r="G32">
        <f>6+7+3</f>
        <v>16</v>
      </c>
      <c r="H32">
        <f t="shared" si="6"/>
        <v>3</v>
      </c>
      <c r="I32">
        <f>60</f>
        <v>60</v>
      </c>
      <c r="L32">
        <f t="shared" si="7"/>
        <v>20</v>
      </c>
      <c r="M32">
        <f t="shared" si="8"/>
        <v>0</v>
      </c>
      <c r="N32">
        <f>10</f>
        <v>10</v>
      </c>
      <c r="O32">
        <f t="shared" si="9"/>
        <v>90</v>
      </c>
    </row>
    <row r="33" spans="1:15" x14ac:dyDescent="0.35">
      <c r="A33" s="3" t="s">
        <v>98</v>
      </c>
      <c r="B33">
        <f>0</f>
        <v>0</v>
      </c>
      <c r="C33">
        <f>1+1+1</f>
        <v>3</v>
      </c>
      <c r="D33">
        <f>0</f>
        <v>0</v>
      </c>
      <c r="E33" s="2">
        <f t="shared" ref="E33" si="49">(B33)/(B33+C33+D33)</f>
        <v>0</v>
      </c>
      <c r="F33">
        <f>0+0+2</f>
        <v>2</v>
      </c>
      <c r="G33">
        <f>11+11+12</f>
        <v>34</v>
      </c>
      <c r="H33">
        <f t="shared" ref="H33" si="50">F33-G33</f>
        <v>-32</v>
      </c>
      <c r="L33">
        <f t="shared" ref="L33" si="51">B33*10</f>
        <v>0</v>
      </c>
      <c r="M33">
        <f t="shared" ref="M33" si="52">D33*5</f>
        <v>0</v>
      </c>
      <c r="N33">
        <f>10</f>
        <v>10</v>
      </c>
      <c r="O33">
        <f t="shared" ref="O33" si="53">SUM(I33:N33)</f>
        <v>10</v>
      </c>
    </row>
    <row r="34" spans="1:15" x14ac:dyDescent="0.35">
      <c r="A34" s="3" t="s">
        <v>267</v>
      </c>
      <c r="B34">
        <f>0</f>
        <v>0</v>
      </c>
      <c r="C34">
        <f>1+1+1</f>
        <v>3</v>
      </c>
      <c r="D34">
        <f>0</f>
        <v>0</v>
      </c>
      <c r="E34" s="2">
        <f t="shared" ref="E34" si="54">(B34)/(B34+C34+D34)</f>
        <v>0</v>
      </c>
      <c r="F34">
        <f>1+2+1</f>
        <v>4</v>
      </c>
      <c r="G34">
        <f>14+5+9</f>
        <v>28</v>
      </c>
      <c r="H34">
        <f t="shared" ref="H34" si="55">F34-G34</f>
        <v>-24</v>
      </c>
      <c r="K34">
        <f>20</f>
        <v>20</v>
      </c>
      <c r="L34">
        <f t="shared" ref="L34" si="56">B34*10</f>
        <v>0</v>
      </c>
      <c r="M34">
        <f t="shared" ref="M34" si="57">D34*5</f>
        <v>0</v>
      </c>
      <c r="N34">
        <f>10</f>
        <v>10</v>
      </c>
      <c r="O34">
        <f t="shared" ref="O34" si="58">SUM(I34:N34)</f>
        <v>30</v>
      </c>
    </row>
    <row r="35" spans="1:15" x14ac:dyDescent="0.35">
      <c r="A35" s="3" t="s">
        <v>185</v>
      </c>
      <c r="B35">
        <f>0</f>
        <v>0</v>
      </c>
      <c r="C35">
        <f>1+1</f>
        <v>2</v>
      </c>
      <c r="D35">
        <f>1</f>
        <v>1</v>
      </c>
      <c r="E35" s="2">
        <f t="shared" ref="E35" si="59">(B35)/(B35+C35+D35)</f>
        <v>0</v>
      </c>
      <c r="F35">
        <f>3+3+1</f>
        <v>7</v>
      </c>
      <c r="G35">
        <f>3+7+4</f>
        <v>14</v>
      </c>
      <c r="H35">
        <f t="shared" ref="H35" si="60">F35-G35</f>
        <v>-7</v>
      </c>
      <c r="J35">
        <f>40</f>
        <v>40</v>
      </c>
      <c r="L35">
        <f t="shared" ref="L35" si="61">B35*10</f>
        <v>0</v>
      </c>
      <c r="M35">
        <f t="shared" ref="M35" si="62">D35*5</f>
        <v>5</v>
      </c>
      <c r="N35">
        <f>10</f>
        <v>10</v>
      </c>
      <c r="O35">
        <f t="shared" ref="O35" si="63">SUM(I35:N35)</f>
        <v>55</v>
      </c>
    </row>
    <row r="36" spans="1:15" x14ac:dyDescent="0.35">
      <c r="A36" s="3" t="s">
        <v>134</v>
      </c>
      <c r="B36">
        <f>3</f>
        <v>3</v>
      </c>
      <c r="C36">
        <f>3</f>
        <v>3</v>
      </c>
      <c r="D36">
        <f>0</f>
        <v>0</v>
      </c>
      <c r="E36" s="2">
        <f t="shared" si="5"/>
        <v>0.5</v>
      </c>
      <c r="F36">
        <f>7+3+4+10+19+4</f>
        <v>47</v>
      </c>
      <c r="G36">
        <f>2+5+16+10+6+4</f>
        <v>43</v>
      </c>
      <c r="H36">
        <f t="shared" si="6"/>
        <v>4</v>
      </c>
      <c r="K36">
        <f>20</f>
        <v>20</v>
      </c>
      <c r="L36">
        <f t="shared" si="7"/>
        <v>30</v>
      </c>
      <c r="M36">
        <f t="shared" si="8"/>
        <v>0</v>
      </c>
      <c r="N36">
        <f>20</f>
        <v>20</v>
      </c>
      <c r="O36">
        <f t="shared" si="9"/>
        <v>70</v>
      </c>
    </row>
    <row r="37" spans="1:15" x14ac:dyDescent="0.35">
      <c r="A37" s="3" t="s">
        <v>107</v>
      </c>
      <c r="B37">
        <f>1</f>
        <v>1</v>
      </c>
      <c r="C37">
        <f>13</f>
        <v>13</v>
      </c>
      <c r="D37">
        <f>0</f>
        <v>0</v>
      </c>
      <c r="E37" s="2">
        <f t="shared" si="5"/>
        <v>7.1428571428571425E-2</v>
      </c>
      <c r="F37">
        <f>3+2+0+4+0+1+4+1+2+1+15+0+4</f>
        <v>37</v>
      </c>
      <c r="G37">
        <f>5+19+12+10+15+18+19+10+25+10+12+9+16</f>
        <v>180</v>
      </c>
      <c r="H37">
        <f t="shared" si="6"/>
        <v>-143</v>
      </c>
      <c r="L37">
        <f t="shared" si="7"/>
        <v>10</v>
      </c>
      <c r="M37">
        <f t="shared" si="8"/>
        <v>0</v>
      </c>
      <c r="N37">
        <f>40</f>
        <v>40</v>
      </c>
      <c r="O37">
        <f t="shared" si="9"/>
        <v>50</v>
      </c>
    </row>
    <row r="38" spans="1:15" x14ac:dyDescent="0.35">
      <c r="A38" s="3" t="s">
        <v>123</v>
      </c>
      <c r="B38">
        <f>4</f>
        <v>4</v>
      </c>
      <c r="C38">
        <f>2</f>
        <v>2</v>
      </c>
      <c r="D38">
        <f>0</f>
        <v>0</v>
      </c>
      <c r="E38" s="2">
        <f t="shared" si="5"/>
        <v>0.66666666666666663</v>
      </c>
      <c r="F38">
        <f>10+1+9+11+10+0</f>
        <v>41</v>
      </c>
      <c r="G38">
        <f>6+9+7+3+5+7</f>
        <v>37</v>
      </c>
      <c r="H38">
        <f t="shared" si="6"/>
        <v>4</v>
      </c>
      <c r="J38">
        <f>40</f>
        <v>40</v>
      </c>
      <c r="L38">
        <f t="shared" si="7"/>
        <v>40</v>
      </c>
      <c r="M38">
        <f t="shared" si="8"/>
        <v>0</v>
      </c>
      <c r="N38">
        <f>10</f>
        <v>10</v>
      </c>
      <c r="O38">
        <f t="shared" si="9"/>
        <v>90</v>
      </c>
    </row>
    <row r="39" spans="1:15" x14ac:dyDescent="0.35">
      <c r="A39" s="3" t="s">
        <v>170</v>
      </c>
      <c r="B39">
        <f>1+1+1+1+1+1</f>
        <v>6</v>
      </c>
      <c r="C39">
        <f>1+1+1+1</f>
        <v>4</v>
      </c>
      <c r="D39">
        <f>0</f>
        <v>0</v>
      </c>
      <c r="E39" s="2">
        <f t="shared" si="5"/>
        <v>0.6</v>
      </c>
      <c r="F39">
        <f>8+7+6+9+1+2+9+10+4+3</f>
        <v>59</v>
      </c>
      <c r="G39">
        <f>7+3+2+15+17+8+4+5+2+5</f>
        <v>68</v>
      </c>
      <c r="H39">
        <f t="shared" si="6"/>
        <v>-9</v>
      </c>
      <c r="I39">
        <f>60</f>
        <v>60</v>
      </c>
      <c r="J39">
        <f>40</f>
        <v>40</v>
      </c>
      <c r="L39">
        <f t="shared" si="7"/>
        <v>60</v>
      </c>
      <c r="M39">
        <f t="shared" si="8"/>
        <v>0</v>
      </c>
      <c r="N39">
        <f>10+10+10</f>
        <v>30</v>
      </c>
      <c r="O39">
        <f t="shared" si="9"/>
        <v>190</v>
      </c>
    </row>
    <row r="40" spans="1:15" x14ac:dyDescent="0.35">
      <c r="A40" s="3" t="s">
        <v>93</v>
      </c>
      <c r="B40">
        <f>4</f>
        <v>4</v>
      </c>
      <c r="C40">
        <f>0</f>
        <v>0</v>
      </c>
      <c r="D40">
        <f>0</f>
        <v>0</v>
      </c>
      <c r="E40" s="2">
        <f t="shared" si="5"/>
        <v>1</v>
      </c>
      <c r="F40">
        <f>8+11+12+7</f>
        <v>38</v>
      </c>
      <c r="G40">
        <f>2+1+0+6</f>
        <v>9</v>
      </c>
      <c r="H40">
        <f t="shared" si="6"/>
        <v>29</v>
      </c>
      <c r="I40">
        <f>60</f>
        <v>60</v>
      </c>
      <c r="L40">
        <f t="shared" si="7"/>
        <v>40</v>
      </c>
      <c r="M40">
        <f t="shared" si="8"/>
        <v>0</v>
      </c>
      <c r="N40">
        <f>10</f>
        <v>10</v>
      </c>
      <c r="O40">
        <f t="shared" si="9"/>
        <v>110</v>
      </c>
    </row>
    <row r="41" spans="1:15" x14ac:dyDescent="0.35">
      <c r="A41" s="3" t="s">
        <v>248</v>
      </c>
      <c r="B41">
        <f>1</f>
        <v>1</v>
      </c>
      <c r="C41">
        <f>1+1+1</f>
        <v>3</v>
      </c>
      <c r="D41">
        <f>0</f>
        <v>0</v>
      </c>
      <c r="E41" s="2">
        <f t="shared" si="5"/>
        <v>0.25</v>
      </c>
      <c r="F41">
        <f>0+7+12+2</f>
        <v>21</v>
      </c>
      <c r="G41">
        <f>7+8+2+8</f>
        <v>25</v>
      </c>
      <c r="H41">
        <f t="shared" si="6"/>
        <v>-4</v>
      </c>
      <c r="L41">
        <f t="shared" si="7"/>
        <v>10</v>
      </c>
      <c r="M41">
        <f t="shared" si="8"/>
        <v>0</v>
      </c>
      <c r="N41">
        <f>10</f>
        <v>10</v>
      </c>
      <c r="O41">
        <f t="shared" si="9"/>
        <v>20</v>
      </c>
    </row>
    <row r="42" spans="1:15" x14ac:dyDescent="0.35">
      <c r="A42" s="3" t="s">
        <v>121</v>
      </c>
      <c r="B42">
        <f>8</f>
        <v>8</v>
      </c>
      <c r="C42">
        <f>0</f>
        <v>0</v>
      </c>
      <c r="D42">
        <f>0</f>
        <v>0</v>
      </c>
      <c r="E42" s="2">
        <f t="shared" si="5"/>
        <v>1</v>
      </c>
      <c r="F42">
        <f>10+15+7+4+10+7+30</f>
        <v>83</v>
      </c>
      <c r="G42">
        <f>2+1+2+0+4+2+3</f>
        <v>14</v>
      </c>
      <c r="H42">
        <f t="shared" si="6"/>
        <v>69</v>
      </c>
      <c r="I42">
        <f>120</f>
        <v>120</v>
      </c>
      <c r="L42">
        <f t="shared" si="7"/>
        <v>80</v>
      </c>
      <c r="M42">
        <f t="shared" si="8"/>
        <v>0</v>
      </c>
      <c r="N42">
        <f>20</f>
        <v>20</v>
      </c>
      <c r="O42">
        <f t="shared" si="9"/>
        <v>220</v>
      </c>
    </row>
    <row r="43" spans="1:15" x14ac:dyDescent="0.35">
      <c r="A43" s="3" t="s">
        <v>226</v>
      </c>
      <c r="B43">
        <f>0</f>
        <v>0</v>
      </c>
      <c r="C43">
        <f>1+1+1</f>
        <v>3</v>
      </c>
      <c r="D43">
        <f>0</f>
        <v>0</v>
      </c>
      <c r="E43" s="2">
        <f t="shared" si="5"/>
        <v>0</v>
      </c>
      <c r="F43">
        <f>0+5+0</f>
        <v>5</v>
      </c>
      <c r="G43">
        <f>9+9+10</f>
        <v>28</v>
      </c>
      <c r="H43">
        <f t="shared" si="6"/>
        <v>-23</v>
      </c>
      <c r="L43">
        <f t="shared" si="7"/>
        <v>0</v>
      </c>
      <c r="M43">
        <f t="shared" si="8"/>
        <v>0</v>
      </c>
      <c r="N43">
        <f>10</f>
        <v>10</v>
      </c>
      <c r="O43">
        <f t="shared" si="9"/>
        <v>10</v>
      </c>
    </row>
    <row r="44" spans="1:15" x14ac:dyDescent="0.35">
      <c r="A44" s="3" t="s">
        <v>122</v>
      </c>
      <c r="B44">
        <f>1</f>
        <v>1</v>
      </c>
      <c r="C44">
        <f>2</f>
        <v>2</v>
      </c>
      <c r="D44">
        <f>0</f>
        <v>0</v>
      </c>
      <c r="E44" s="2">
        <f t="shared" si="5"/>
        <v>0.33333333333333331</v>
      </c>
      <c r="F44">
        <f>12+1+1</f>
        <v>14</v>
      </c>
      <c r="G44">
        <f>2+15+2</f>
        <v>19</v>
      </c>
      <c r="H44">
        <f t="shared" si="6"/>
        <v>-5</v>
      </c>
      <c r="K44">
        <f>20</f>
        <v>20</v>
      </c>
      <c r="L44">
        <f t="shared" si="7"/>
        <v>10</v>
      </c>
      <c r="M44">
        <f t="shared" si="8"/>
        <v>0</v>
      </c>
      <c r="N44">
        <f>10</f>
        <v>10</v>
      </c>
      <c r="O44">
        <f t="shared" si="9"/>
        <v>40</v>
      </c>
    </row>
    <row r="45" spans="1:15" x14ac:dyDescent="0.35">
      <c r="A45" s="3" t="s">
        <v>109</v>
      </c>
      <c r="B45">
        <f>8</f>
        <v>8</v>
      </c>
      <c r="C45">
        <f>4</f>
        <v>4</v>
      </c>
      <c r="D45">
        <f>0</f>
        <v>0</v>
      </c>
      <c r="E45" s="2">
        <f t="shared" si="5"/>
        <v>0.66666666666666663</v>
      </c>
      <c r="F45">
        <f>11+12+7+6+0+9+12+9+5+2+12</f>
        <v>85</v>
      </c>
      <c r="G45">
        <f>7+3+5+5+12+1+6+2+10+11+4</f>
        <v>66</v>
      </c>
      <c r="H45">
        <f t="shared" si="6"/>
        <v>19</v>
      </c>
      <c r="J45">
        <f>40</f>
        <v>40</v>
      </c>
      <c r="K45">
        <f>40</f>
        <v>40</v>
      </c>
      <c r="L45">
        <f t="shared" si="7"/>
        <v>80</v>
      </c>
      <c r="M45">
        <f t="shared" si="8"/>
        <v>0</v>
      </c>
      <c r="N45">
        <f>30</f>
        <v>30</v>
      </c>
      <c r="O45">
        <f t="shared" si="9"/>
        <v>190</v>
      </c>
    </row>
    <row r="46" spans="1:15" x14ac:dyDescent="0.35">
      <c r="E46" s="2" t="e">
        <f t="shared" si="5"/>
        <v>#DIV/0!</v>
      </c>
      <c r="H46">
        <f t="shared" si="6"/>
        <v>0</v>
      </c>
      <c r="L46">
        <f t="shared" si="7"/>
        <v>0</v>
      </c>
      <c r="M46">
        <f t="shared" si="8"/>
        <v>0</v>
      </c>
      <c r="O46">
        <f t="shared" si="9"/>
        <v>0</v>
      </c>
    </row>
    <row r="47" spans="1:15" x14ac:dyDescent="0.35">
      <c r="E47" s="2" t="e">
        <f t="shared" si="5"/>
        <v>#DIV/0!</v>
      </c>
      <c r="H47">
        <f t="shared" si="6"/>
        <v>0</v>
      </c>
      <c r="L47">
        <f t="shared" si="7"/>
        <v>0</v>
      </c>
      <c r="M47">
        <f t="shared" si="8"/>
        <v>0</v>
      </c>
      <c r="O47">
        <f t="shared" si="9"/>
        <v>0</v>
      </c>
    </row>
    <row r="48" spans="1:15" x14ac:dyDescent="0.35">
      <c r="E48" s="2" t="e">
        <f t="shared" si="5"/>
        <v>#DIV/0!</v>
      </c>
      <c r="H48">
        <f t="shared" si="6"/>
        <v>0</v>
      </c>
      <c r="L48">
        <f t="shared" si="7"/>
        <v>0</v>
      </c>
      <c r="M48">
        <f t="shared" si="8"/>
        <v>0</v>
      </c>
      <c r="O48">
        <f t="shared" si="9"/>
        <v>0</v>
      </c>
    </row>
    <row r="49" spans="5:15" x14ac:dyDescent="0.35">
      <c r="E49" s="2" t="e">
        <f t="shared" si="5"/>
        <v>#DIV/0!</v>
      </c>
      <c r="H49">
        <f t="shared" si="6"/>
        <v>0</v>
      </c>
      <c r="L49">
        <f t="shared" si="7"/>
        <v>0</v>
      </c>
      <c r="M49">
        <f t="shared" si="8"/>
        <v>0</v>
      </c>
      <c r="O49">
        <f t="shared" si="9"/>
        <v>0</v>
      </c>
    </row>
    <row r="50" spans="5:15" x14ac:dyDescent="0.35">
      <c r="E50" s="2" t="e">
        <f t="shared" si="5"/>
        <v>#DIV/0!</v>
      </c>
      <c r="H50">
        <f t="shared" si="6"/>
        <v>0</v>
      </c>
      <c r="L50">
        <f t="shared" si="7"/>
        <v>0</v>
      </c>
      <c r="M50">
        <f t="shared" si="8"/>
        <v>0</v>
      </c>
      <c r="O50">
        <f t="shared" si="9"/>
        <v>0</v>
      </c>
    </row>
    <row r="51" spans="5:15" x14ac:dyDescent="0.35">
      <c r="E51" s="2" t="e">
        <f t="shared" si="5"/>
        <v>#DIV/0!</v>
      </c>
      <c r="H51">
        <f t="shared" si="6"/>
        <v>0</v>
      </c>
      <c r="L51">
        <f t="shared" si="7"/>
        <v>0</v>
      </c>
      <c r="M51">
        <f t="shared" si="8"/>
        <v>0</v>
      </c>
      <c r="O51">
        <f t="shared" si="9"/>
        <v>0</v>
      </c>
    </row>
    <row r="52" spans="5:15" x14ac:dyDescent="0.35">
      <c r="E52" s="2" t="e">
        <f t="shared" si="5"/>
        <v>#DIV/0!</v>
      </c>
      <c r="H52">
        <f t="shared" si="6"/>
        <v>0</v>
      </c>
      <c r="L52">
        <f t="shared" si="7"/>
        <v>0</v>
      </c>
      <c r="M52">
        <f t="shared" si="8"/>
        <v>0</v>
      </c>
      <c r="O52">
        <f t="shared" si="9"/>
        <v>0</v>
      </c>
    </row>
    <row r="53" spans="5:15" x14ac:dyDescent="0.35">
      <c r="E53" s="2" t="e">
        <f t="shared" si="5"/>
        <v>#DIV/0!</v>
      </c>
      <c r="H53">
        <f t="shared" si="6"/>
        <v>0</v>
      </c>
      <c r="L53">
        <f t="shared" si="7"/>
        <v>0</v>
      </c>
      <c r="M53">
        <f t="shared" si="8"/>
        <v>0</v>
      </c>
      <c r="O53">
        <f t="shared" si="9"/>
        <v>0</v>
      </c>
    </row>
    <row r="54" spans="5:15" x14ac:dyDescent="0.35">
      <c r="E54" s="2" t="e">
        <f t="shared" ref="E54:E83" si="64">(B54)/(B54+C54+D54)</f>
        <v>#DIV/0!</v>
      </c>
      <c r="H54">
        <f t="shared" ref="H54:H83" si="65">F54-G54</f>
        <v>0</v>
      </c>
      <c r="L54">
        <f t="shared" ref="L54:L77" si="66">B54*10</f>
        <v>0</v>
      </c>
      <c r="M54">
        <f t="shared" ref="M54:M83" si="67">D54*5</f>
        <v>0</v>
      </c>
      <c r="O54">
        <f t="shared" ref="O54:O83" si="68">SUM(I54:N54)</f>
        <v>0</v>
      </c>
    </row>
    <row r="55" spans="5:15" x14ac:dyDescent="0.35">
      <c r="E55" s="2" t="e">
        <f t="shared" si="64"/>
        <v>#DIV/0!</v>
      </c>
      <c r="H55">
        <f t="shared" si="65"/>
        <v>0</v>
      </c>
      <c r="L55">
        <f t="shared" si="66"/>
        <v>0</v>
      </c>
      <c r="M55">
        <f t="shared" si="67"/>
        <v>0</v>
      </c>
      <c r="O55">
        <f t="shared" si="68"/>
        <v>0</v>
      </c>
    </row>
    <row r="56" spans="5:15" x14ac:dyDescent="0.35">
      <c r="E56" s="2" t="e">
        <f t="shared" si="64"/>
        <v>#DIV/0!</v>
      </c>
      <c r="H56">
        <f t="shared" si="65"/>
        <v>0</v>
      </c>
      <c r="L56">
        <f t="shared" si="66"/>
        <v>0</v>
      </c>
      <c r="M56">
        <f t="shared" si="67"/>
        <v>0</v>
      </c>
      <c r="O56">
        <f t="shared" si="68"/>
        <v>0</v>
      </c>
    </row>
    <row r="57" spans="5:15" x14ac:dyDescent="0.35">
      <c r="E57" s="2" t="e">
        <f t="shared" si="64"/>
        <v>#DIV/0!</v>
      </c>
      <c r="H57">
        <f t="shared" si="65"/>
        <v>0</v>
      </c>
      <c r="L57">
        <f t="shared" si="66"/>
        <v>0</v>
      </c>
      <c r="M57">
        <f t="shared" si="67"/>
        <v>0</v>
      </c>
      <c r="O57">
        <f t="shared" si="68"/>
        <v>0</v>
      </c>
    </row>
    <row r="58" spans="5:15" x14ac:dyDescent="0.35">
      <c r="E58" s="2" t="e">
        <f t="shared" si="64"/>
        <v>#DIV/0!</v>
      </c>
      <c r="H58">
        <f t="shared" si="65"/>
        <v>0</v>
      </c>
      <c r="L58">
        <f t="shared" si="66"/>
        <v>0</v>
      </c>
      <c r="M58">
        <f t="shared" si="67"/>
        <v>0</v>
      </c>
      <c r="O58">
        <f t="shared" si="68"/>
        <v>0</v>
      </c>
    </row>
    <row r="59" spans="5:15" x14ac:dyDescent="0.35">
      <c r="E59" s="2" t="e">
        <f t="shared" si="64"/>
        <v>#DIV/0!</v>
      </c>
      <c r="H59">
        <f t="shared" si="65"/>
        <v>0</v>
      </c>
      <c r="L59">
        <f t="shared" si="66"/>
        <v>0</v>
      </c>
      <c r="M59">
        <f t="shared" si="67"/>
        <v>0</v>
      </c>
      <c r="O59">
        <f t="shared" si="68"/>
        <v>0</v>
      </c>
    </row>
    <row r="60" spans="5:15" x14ac:dyDescent="0.35">
      <c r="E60" s="2" t="e">
        <f t="shared" si="64"/>
        <v>#DIV/0!</v>
      </c>
      <c r="H60">
        <f t="shared" si="65"/>
        <v>0</v>
      </c>
      <c r="L60">
        <f t="shared" si="66"/>
        <v>0</v>
      </c>
      <c r="M60">
        <f t="shared" si="67"/>
        <v>0</v>
      </c>
      <c r="O60">
        <f t="shared" si="68"/>
        <v>0</v>
      </c>
    </row>
    <row r="61" spans="5:15" x14ac:dyDescent="0.35">
      <c r="E61" t="e">
        <f t="shared" si="64"/>
        <v>#DIV/0!</v>
      </c>
      <c r="H61">
        <f t="shared" si="65"/>
        <v>0</v>
      </c>
      <c r="L61">
        <f t="shared" si="66"/>
        <v>0</v>
      </c>
      <c r="M61">
        <f t="shared" si="67"/>
        <v>0</v>
      </c>
      <c r="O61">
        <f t="shared" si="68"/>
        <v>0</v>
      </c>
    </row>
    <row r="62" spans="5:15" x14ac:dyDescent="0.35">
      <c r="E62" t="e">
        <f t="shared" si="64"/>
        <v>#DIV/0!</v>
      </c>
      <c r="H62">
        <f t="shared" si="65"/>
        <v>0</v>
      </c>
      <c r="L62">
        <f t="shared" si="66"/>
        <v>0</v>
      </c>
      <c r="M62">
        <f t="shared" si="67"/>
        <v>0</v>
      </c>
      <c r="O62">
        <f t="shared" si="68"/>
        <v>0</v>
      </c>
    </row>
    <row r="63" spans="5:15" x14ac:dyDescent="0.35">
      <c r="E63" t="e">
        <f t="shared" si="64"/>
        <v>#DIV/0!</v>
      </c>
      <c r="H63">
        <f t="shared" si="65"/>
        <v>0</v>
      </c>
      <c r="L63">
        <f t="shared" si="66"/>
        <v>0</v>
      </c>
      <c r="M63">
        <f t="shared" si="67"/>
        <v>0</v>
      </c>
      <c r="O63">
        <f t="shared" si="68"/>
        <v>0</v>
      </c>
    </row>
    <row r="64" spans="5:15" x14ac:dyDescent="0.35">
      <c r="E64" t="e">
        <f t="shared" si="64"/>
        <v>#DIV/0!</v>
      </c>
      <c r="H64">
        <f t="shared" si="65"/>
        <v>0</v>
      </c>
      <c r="L64">
        <f t="shared" si="66"/>
        <v>0</v>
      </c>
      <c r="M64">
        <f t="shared" si="67"/>
        <v>0</v>
      </c>
      <c r="O64">
        <f t="shared" si="68"/>
        <v>0</v>
      </c>
    </row>
    <row r="65" spans="5:15" x14ac:dyDescent="0.35">
      <c r="E65" t="e">
        <f t="shared" si="64"/>
        <v>#DIV/0!</v>
      </c>
      <c r="H65">
        <f t="shared" si="65"/>
        <v>0</v>
      </c>
      <c r="L65">
        <f t="shared" si="66"/>
        <v>0</v>
      </c>
      <c r="M65">
        <f t="shared" si="67"/>
        <v>0</v>
      </c>
      <c r="O65">
        <f t="shared" si="68"/>
        <v>0</v>
      </c>
    </row>
    <row r="66" spans="5:15" x14ac:dyDescent="0.35">
      <c r="E66" t="e">
        <f t="shared" si="64"/>
        <v>#DIV/0!</v>
      </c>
      <c r="H66">
        <f t="shared" si="65"/>
        <v>0</v>
      </c>
      <c r="L66">
        <f t="shared" si="66"/>
        <v>0</v>
      </c>
      <c r="M66">
        <f t="shared" si="67"/>
        <v>0</v>
      </c>
      <c r="O66">
        <f t="shared" si="68"/>
        <v>0</v>
      </c>
    </row>
    <row r="67" spans="5:15" x14ac:dyDescent="0.35">
      <c r="E67" t="e">
        <f t="shared" si="64"/>
        <v>#DIV/0!</v>
      </c>
      <c r="H67">
        <f t="shared" si="65"/>
        <v>0</v>
      </c>
      <c r="L67">
        <f t="shared" si="66"/>
        <v>0</v>
      </c>
      <c r="M67">
        <f t="shared" si="67"/>
        <v>0</v>
      </c>
      <c r="O67">
        <f t="shared" si="68"/>
        <v>0</v>
      </c>
    </row>
    <row r="68" spans="5:15" x14ac:dyDescent="0.35">
      <c r="E68" t="e">
        <f t="shared" si="64"/>
        <v>#DIV/0!</v>
      </c>
      <c r="H68">
        <f t="shared" si="65"/>
        <v>0</v>
      </c>
      <c r="L68">
        <f t="shared" si="66"/>
        <v>0</v>
      </c>
      <c r="M68">
        <f t="shared" si="67"/>
        <v>0</v>
      </c>
      <c r="O68">
        <f t="shared" si="68"/>
        <v>0</v>
      </c>
    </row>
    <row r="69" spans="5:15" x14ac:dyDescent="0.35">
      <c r="E69" t="e">
        <f t="shared" si="64"/>
        <v>#DIV/0!</v>
      </c>
      <c r="H69">
        <f t="shared" si="65"/>
        <v>0</v>
      </c>
      <c r="L69">
        <f t="shared" si="66"/>
        <v>0</v>
      </c>
      <c r="M69">
        <f t="shared" si="67"/>
        <v>0</v>
      </c>
      <c r="O69">
        <f t="shared" si="68"/>
        <v>0</v>
      </c>
    </row>
    <row r="70" spans="5:15" x14ac:dyDescent="0.35">
      <c r="E70" t="e">
        <f t="shared" si="64"/>
        <v>#DIV/0!</v>
      </c>
      <c r="H70">
        <f t="shared" si="65"/>
        <v>0</v>
      </c>
      <c r="L70">
        <f t="shared" si="66"/>
        <v>0</v>
      </c>
      <c r="M70">
        <f t="shared" si="67"/>
        <v>0</v>
      </c>
      <c r="O70">
        <f t="shared" si="68"/>
        <v>0</v>
      </c>
    </row>
    <row r="71" spans="5:15" x14ac:dyDescent="0.35">
      <c r="E71" t="e">
        <f t="shared" si="64"/>
        <v>#DIV/0!</v>
      </c>
      <c r="H71">
        <f t="shared" si="65"/>
        <v>0</v>
      </c>
      <c r="L71">
        <f t="shared" si="66"/>
        <v>0</v>
      </c>
      <c r="M71">
        <f t="shared" si="67"/>
        <v>0</v>
      </c>
      <c r="O71">
        <f t="shared" si="68"/>
        <v>0</v>
      </c>
    </row>
    <row r="72" spans="5:15" x14ac:dyDescent="0.35">
      <c r="E72" t="e">
        <f t="shared" si="64"/>
        <v>#DIV/0!</v>
      </c>
      <c r="H72">
        <f t="shared" si="65"/>
        <v>0</v>
      </c>
      <c r="L72">
        <f t="shared" si="66"/>
        <v>0</v>
      </c>
      <c r="M72">
        <f t="shared" si="67"/>
        <v>0</v>
      </c>
      <c r="O72">
        <f t="shared" si="68"/>
        <v>0</v>
      </c>
    </row>
    <row r="73" spans="5:15" x14ac:dyDescent="0.35">
      <c r="E73" t="e">
        <f t="shared" si="64"/>
        <v>#DIV/0!</v>
      </c>
      <c r="H73">
        <f t="shared" si="65"/>
        <v>0</v>
      </c>
      <c r="L73">
        <f t="shared" si="66"/>
        <v>0</v>
      </c>
      <c r="M73">
        <f t="shared" si="67"/>
        <v>0</v>
      </c>
      <c r="O73">
        <f t="shared" si="68"/>
        <v>0</v>
      </c>
    </row>
    <row r="74" spans="5:15" x14ac:dyDescent="0.35">
      <c r="E74" t="e">
        <f t="shared" si="64"/>
        <v>#DIV/0!</v>
      </c>
      <c r="H74">
        <f t="shared" si="65"/>
        <v>0</v>
      </c>
      <c r="L74">
        <f t="shared" si="66"/>
        <v>0</v>
      </c>
      <c r="M74">
        <f t="shared" si="67"/>
        <v>0</v>
      </c>
      <c r="O74">
        <f t="shared" si="68"/>
        <v>0</v>
      </c>
    </row>
    <row r="75" spans="5:15" x14ac:dyDescent="0.35">
      <c r="E75" t="e">
        <f t="shared" si="64"/>
        <v>#DIV/0!</v>
      </c>
      <c r="H75">
        <f t="shared" si="65"/>
        <v>0</v>
      </c>
      <c r="L75">
        <f t="shared" si="66"/>
        <v>0</v>
      </c>
      <c r="M75">
        <f t="shared" si="67"/>
        <v>0</v>
      </c>
      <c r="O75">
        <f t="shared" si="68"/>
        <v>0</v>
      </c>
    </row>
    <row r="76" spans="5:15" x14ac:dyDescent="0.35">
      <c r="E76" t="e">
        <f t="shared" si="64"/>
        <v>#DIV/0!</v>
      </c>
      <c r="H76">
        <f t="shared" si="65"/>
        <v>0</v>
      </c>
      <c r="L76">
        <f t="shared" si="66"/>
        <v>0</v>
      </c>
      <c r="M76">
        <f t="shared" si="67"/>
        <v>0</v>
      </c>
      <c r="O76">
        <f t="shared" si="68"/>
        <v>0</v>
      </c>
    </row>
    <row r="77" spans="5:15" x14ac:dyDescent="0.35">
      <c r="E77" t="e">
        <f t="shared" si="64"/>
        <v>#DIV/0!</v>
      </c>
      <c r="H77">
        <f t="shared" si="65"/>
        <v>0</v>
      </c>
      <c r="L77">
        <f t="shared" si="66"/>
        <v>0</v>
      </c>
      <c r="M77">
        <f t="shared" si="67"/>
        <v>0</v>
      </c>
      <c r="O77">
        <f t="shared" si="68"/>
        <v>0</v>
      </c>
    </row>
    <row r="78" spans="5:15" x14ac:dyDescent="0.35">
      <c r="E78" t="e">
        <f t="shared" si="64"/>
        <v>#DIV/0!</v>
      </c>
      <c r="H78">
        <f t="shared" si="65"/>
        <v>0</v>
      </c>
      <c r="M78">
        <f t="shared" si="67"/>
        <v>0</v>
      </c>
      <c r="O78">
        <f t="shared" si="68"/>
        <v>0</v>
      </c>
    </row>
    <row r="79" spans="5:15" x14ac:dyDescent="0.35">
      <c r="E79" t="e">
        <f t="shared" si="64"/>
        <v>#DIV/0!</v>
      </c>
      <c r="H79">
        <f t="shared" si="65"/>
        <v>0</v>
      </c>
      <c r="M79">
        <f t="shared" si="67"/>
        <v>0</v>
      </c>
      <c r="O79">
        <f t="shared" si="68"/>
        <v>0</v>
      </c>
    </row>
    <row r="80" spans="5:15" x14ac:dyDescent="0.35">
      <c r="E80" t="e">
        <f t="shared" si="64"/>
        <v>#DIV/0!</v>
      </c>
      <c r="H80">
        <f t="shared" si="65"/>
        <v>0</v>
      </c>
      <c r="M80">
        <f t="shared" si="67"/>
        <v>0</v>
      </c>
      <c r="O80">
        <f t="shared" si="68"/>
        <v>0</v>
      </c>
    </row>
    <row r="81" spans="5:15" x14ac:dyDescent="0.35">
      <c r="E81" t="e">
        <f t="shared" si="64"/>
        <v>#DIV/0!</v>
      </c>
      <c r="H81">
        <f t="shared" si="65"/>
        <v>0</v>
      </c>
      <c r="M81">
        <f t="shared" si="67"/>
        <v>0</v>
      </c>
      <c r="O81">
        <f t="shared" si="68"/>
        <v>0</v>
      </c>
    </row>
    <row r="82" spans="5:15" x14ac:dyDescent="0.35">
      <c r="E82" t="e">
        <f t="shared" si="64"/>
        <v>#DIV/0!</v>
      </c>
      <c r="H82">
        <f t="shared" si="65"/>
        <v>0</v>
      </c>
      <c r="M82">
        <f t="shared" si="67"/>
        <v>0</v>
      </c>
      <c r="O82">
        <f t="shared" si="68"/>
        <v>0</v>
      </c>
    </row>
    <row r="83" spans="5:15" x14ac:dyDescent="0.35">
      <c r="E83" t="e">
        <f t="shared" si="64"/>
        <v>#DIV/0!</v>
      </c>
      <c r="H83">
        <f t="shared" si="65"/>
        <v>0</v>
      </c>
      <c r="M83">
        <f t="shared" si="67"/>
        <v>0</v>
      </c>
      <c r="O83">
        <f t="shared" si="68"/>
        <v>0</v>
      </c>
    </row>
  </sheetData>
  <sortState xmlns:xlrd2="http://schemas.microsoft.com/office/spreadsheetml/2017/richdata2" ref="A4:O83">
    <sortCondition ref="A38:A83"/>
  </sortState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77"/>
  <sheetViews>
    <sheetView tabSelected="1" workbookViewId="0">
      <selection activeCell="H10" sqref="H10"/>
    </sheetView>
  </sheetViews>
  <sheetFormatPr defaultRowHeight="14.5" x14ac:dyDescent="0.35"/>
  <cols>
    <col min="1" max="1" width="22.26953125" style="3" customWidth="1"/>
    <col min="5" max="5" width="9.1796875" style="2"/>
  </cols>
  <sheetData>
    <row r="1" spans="1:27" x14ac:dyDescent="0.35">
      <c r="A1" s="14" t="s">
        <v>0</v>
      </c>
      <c r="B1" s="1"/>
      <c r="C1" s="1"/>
      <c r="D1" s="1"/>
      <c r="E1" s="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4" t="s">
        <v>22</v>
      </c>
      <c r="B2" s="1" t="s">
        <v>1</v>
      </c>
      <c r="C2" s="1" t="s">
        <v>2</v>
      </c>
      <c r="D2" s="1" t="s">
        <v>3</v>
      </c>
      <c r="E2" s="15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35">
      <c r="A3" s="3" t="s">
        <v>39</v>
      </c>
      <c r="B3">
        <f>1+1+1+1+1+1</f>
        <v>6</v>
      </c>
      <c r="C3">
        <f>1+1+1</f>
        <v>3</v>
      </c>
      <c r="D3">
        <f>1</f>
        <v>1</v>
      </c>
      <c r="E3" s="2">
        <f t="shared" ref="E3" si="0">(B3)/(B3+C3+D3)</f>
        <v>0.6</v>
      </c>
      <c r="F3">
        <f>4+4+3+18+11+4+0+11+7+2</f>
        <v>64</v>
      </c>
      <c r="G3">
        <f>3+4+2+0+3+11+3+3+1+5</f>
        <v>35</v>
      </c>
      <c r="H3">
        <f>F3-G3</f>
        <v>29</v>
      </c>
      <c r="I3">
        <f>60</f>
        <v>60</v>
      </c>
      <c r="J3">
        <f>40</f>
        <v>40</v>
      </c>
      <c r="L3">
        <f t="shared" ref="L3" si="1">B3*10</f>
        <v>60</v>
      </c>
      <c r="M3">
        <f>D3*5</f>
        <v>5</v>
      </c>
      <c r="N3">
        <f>10+10</f>
        <v>20</v>
      </c>
      <c r="O3">
        <f>SUM(I3:N3)</f>
        <v>185</v>
      </c>
    </row>
    <row r="4" spans="1:27" x14ac:dyDescent="0.35">
      <c r="A4" s="3" t="s">
        <v>218</v>
      </c>
      <c r="B4">
        <f>1</f>
        <v>1</v>
      </c>
      <c r="C4">
        <f>1+1+1</f>
        <v>3</v>
      </c>
      <c r="E4" s="2">
        <f t="shared" ref="E4" si="2">(B4)/(B4+C4+D4)</f>
        <v>0.25</v>
      </c>
      <c r="F4">
        <f>3+10+12+12</f>
        <v>37</v>
      </c>
      <c r="G4">
        <f>4+11+5+13</f>
        <v>33</v>
      </c>
      <c r="H4">
        <f>F4-G4</f>
        <v>4</v>
      </c>
      <c r="L4">
        <f t="shared" ref="L4" si="3">B4*10</f>
        <v>10</v>
      </c>
      <c r="M4">
        <f>D4*5</f>
        <v>0</v>
      </c>
      <c r="N4">
        <f>10</f>
        <v>10</v>
      </c>
      <c r="O4">
        <f>SUM(I4:N4)</f>
        <v>20</v>
      </c>
    </row>
    <row r="5" spans="1:27" x14ac:dyDescent="0.35">
      <c r="A5" s="3" t="s">
        <v>186</v>
      </c>
      <c r="B5">
        <f>1+1+1</f>
        <v>3</v>
      </c>
      <c r="C5">
        <f>1+1+1+1+1+1+1+1+1</f>
        <v>9</v>
      </c>
      <c r="E5" s="2">
        <f t="shared" ref="E5:E21" si="4">(B5)/(B5+C5+D5)</f>
        <v>0.25</v>
      </c>
      <c r="F5">
        <f>10+0+0+1+4+6+8+6+4+0+2+4</f>
        <v>45</v>
      </c>
      <c r="G5">
        <f>0+4+10+18+5+8+7+4+9+8+6+5</f>
        <v>84</v>
      </c>
      <c r="H5">
        <f>F5-G5</f>
        <v>-39</v>
      </c>
      <c r="J5">
        <f>40+40</f>
        <v>80</v>
      </c>
      <c r="L5">
        <f t="shared" ref="L5:L21" si="5">B5*10</f>
        <v>30</v>
      </c>
      <c r="M5">
        <f>D5*5</f>
        <v>0</v>
      </c>
      <c r="N5">
        <f>10+10+10+10</f>
        <v>40</v>
      </c>
      <c r="O5">
        <f>SUM(I5:N5)</f>
        <v>150</v>
      </c>
    </row>
    <row r="6" spans="1:27" x14ac:dyDescent="0.35">
      <c r="A6" s="3" t="s">
        <v>269</v>
      </c>
      <c r="B6">
        <f>1+1+1</f>
        <v>3</v>
      </c>
      <c r="C6">
        <f>1</f>
        <v>1</v>
      </c>
      <c r="E6" s="2">
        <f t="shared" si="4"/>
        <v>0.75</v>
      </c>
      <c r="F6">
        <f>8+11+3+1</f>
        <v>23</v>
      </c>
      <c r="G6">
        <f>4+6+0+7</f>
        <v>17</v>
      </c>
      <c r="H6">
        <f>F6-G6</f>
        <v>6</v>
      </c>
      <c r="K6">
        <f>20</f>
        <v>20</v>
      </c>
      <c r="L6">
        <f t="shared" si="5"/>
        <v>30</v>
      </c>
      <c r="M6">
        <f>D6*5</f>
        <v>0</v>
      </c>
      <c r="N6">
        <f>10</f>
        <v>10</v>
      </c>
      <c r="O6">
        <f>SUM(I6:N6)</f>
        <v>60</v>
      </c>
    </row>
    <row r="7" spans="1:27" x14ac:dyDescent="0.35">
      <c r="A7" s="3" t="s">
        <v>204</v>
      </c>
      <c r="B7">
        <f>1+1+1+1+1+1+1+1+1</f>
        <v>9</v>
      </c>
      <c r="C7">
        <f>1+1+1+1+1</f>
        <v>5</v>
      </c>
      <c r="E7" s="2">
        <f t="shared" si="4"/>
        <v>0.6428571428571429</v>
      </c>
      <c r="F7">
        <f>9+2+12+1+6+5+4+7+13+16+3+3+8+6</f>
        <v>95</v>
      </c>
      <c r="G7">
        <f>2+5+0+8+5+4+5+1+2+1+0+4+0+8</f>
        <v>45</v>
      </c>
      <c r="H7">
        <f t="shared" ref="H7" si="6">F7-G7</f>
        <v>50</v>
      </c>
      <c r="I7">
        <f>60</f>
        <v>60</v>
      </c>
      <c r="J7">
        <f>40</f>
        <v>40</v>
      </c>
      <c r="K7">
        <f>20</f>
        <v>20</v>
      </c>
      <c r="L7">
        <f t="shared" si="5"/>
        <v>90</v>
      </c>
      <c r="M7">
        <f t="shared" ref="M7" si="7">D7*5</f>
        <v>0</v>
      </c>
      <c r="N7">
        <f>10+10+10+10</f>
        <v>40</v>
      </c>
      <c r="O7">
        <f t="shared" ref="O7" si="8">SUM(I7:N7)</f>
        <v>250</v>
      </c>
    </row>
    <row r="8" spans="1:27" x14ac:dyDescent="0.35">
      <c r="A8" s="3" t="s">
        <v>220</v>
      </c>
      <c r="B8">
        <f>1</f>
        <v>1</v>
      </c>
      <c r="C8">
        <f>1+1+1+1</f>
        <v>4</v>
      </c>
      <c r="D8">
        <f>1</f>
        <v>1</v>
      </c>
      <c r="E8" s="2">
        <f t="shared" si="4"/>
        <v>0.16666666666666666</v>
      </c>
      <c r="F8">
        <f>4+3+7+6+1+0</f>
        <v>21</v>
      </c>
      <c r="G8">
        <f>4+4+12+2+5+3</f>
        <v>30</v>
      </c>
      <c r="H8">
        <f>F8-G8</f>
        <v>-9</v>
      </c>
      <c r="K8">
        <f>20</f>
        <v>20</v>
      </c>
      <c r="L8">
        <f t="shared" si="5"/>
        <v>10</v>
      </c>
      <c r="M8">
        <f>D8*5</f>
        <v>5</v>
      </c>
      <c r="N8">
        <f>10+10</f>
        <v>20</v>
      </c>
      <c r="O8">
        <f>SUM(I8:N8)</f>
        <v>55</v>
      </c>
    </row>
    <row r="9" spans="1:27" x14ac:dyDescent="0.35">
      <c r="A9" s="3" t="s">
        <v>111</v>
      </c>
      <c r="B9">
        <f>1+1+1</f>
        <v>3</v>
      </c>
      <c r="C9">
        <f>1</f>
        <v>1</v>
      </c>
      <c r="E9" s="2">
        <f t="shared" si="4"/>
        <v>0.75</v>
      </c>
      <c r="F9">
        <f>5+11+13+0</f>
        <v>29</v>
      </c>
      <c r="G9">
        <f>2+10+12+18</f>
        <v>42</v>
      </c>
      <c r="H9">
        <f>F9-G9</f>
        <v>-13</v>
      </c>
      <c r="J9">
        <f>40</f>
        <v>40</v>
      </c>
      <c r="L9">
        <f t="shared" si="5"/>
        <v>30</v>
      </c>
      <c r="M9">
        <f>D9*5</f>
        <v>0</v>
      </c>
      <c r="N9">
        <f>10</f>
        <v>10</v>
      </c>
      <c r="O9">
        <f>SUM(I9:N9)</f>
        <v>80</v>
      </c>
    </row>
    <row r="10" spans="1:27" x14ac:dyDescent="0.35">
      <c r="A10" s="3" t="s">
        <v>63</v>
      </c>
      <c r="B10">
        <f>1+1+1+1+1+1</f>
        <v>6</v>
      </c>
      <c r="C10">
        <f>1+1+1+1</f>
        <v>4</v>
      </c>
      <c r="E10" s="2">
        <f t="shared" ref="E10" si="9">(B10)/(B10+C10+D10)</f>
        <v>0.6</v>
      </c>
      <c r="F10">
        <f>0+0+8+8+0+6+11+3+8+5</f>
        <v>49</v>
      </c>
      <c r="G10">
        <f>1+8+5+6+7+5+4+9+2+2</f>
        <v>49</v>
      </c>
      <c r="H10">
        <f t="shared" ref="H10" si="10">F10-G10</f>
        <v>0</v>
      </c>
      <c r="I10">
        <f>60</f>
        <v>60</v>
      </c>
      <c r="J10">
        <f>40</f>
        <v>40</v>
      </c>
      <c r="M10">
        <f t="shared" ref="M10" si="11">D10*5</f>
        <v>0</v>
      </c>
      <c r="N10">
        <f>10+10</f>
        <v>20</v>
      </c>
      <c r="O10">
        <f t="shared" ref="O10" si="12">SUM(I10:N10)</f>
        <v>120</v>
      </c>
    </row>
    <row r="11" spans="1:27" x14ac:dyDescent="0.35">
      <c r="A11" s="3" t="s">
        <v>175</v>
      </c>
      <c r="B11">
        <f>1+1+1+1+1+1</f>
        <v>6</v>
      </c>
      <c r="C11">
        <f>1+1+1+1+1+1+1+1</f>
        <v>8</v>
      </c>
      <c r="E11" s="2">
        <f t="shared" si="4"/>
        <v>0.42857142857142855</v>
      </c>
      <c r="F11">
        <f>20+0+3+3+4+0+5+2+3+6+5+7+5+7</f>
        <v>70</v>
      </c>
      <c r="G11">
        <f>0+10+6+6+2+16+12+10+6+5+7+1+2+0</f>
        <v>83</v>
      </c>
      <c r="H11">
        <f t="shared" ref="H11:H77" si="13">F11-G11</f>
        <v>-13</v>
      </c>
      <c r="I11">
        <f>60</f>
        <v>60</v>
      </c>
      <c r="K11">
        <f>20+20</f>
        <v>40</v>
      </c>
      <c r="L11">
        <f t="shared" si="5"/>
        <v>60</v>
      </c>
      <c r="M11">
        <f t="shared" ref="M11:M77" si="14">D11*5</f>
        <v>0</v>
      </c>
      <c r="N11">
        <f>10+10+10+10</f>
        <v>40</v>
      </c>
      <c r="O11">
        <f t="shared" ref="O11:O77" si="15">SUM(I11:N11)</f>
        <v>200</v>
      </c>
    </row>
    <row r="12" spans="1:27" x14ac:dyDescent="0.35">
      <c r="A12" s="3" t="s">
        <v>203</v>
      </c>
      <c r="B12">
        <f>1+1+1+1</f>
        <v>4</v>
      </c>
      <c r="C12">
        <f>1+1+1+1+1+1+1</f>
        <v>7</v>
      </c>
      <c r="E12" s="2">
        <f t="shared" si="4"/>
        <v>0.36363636363636365</v>
      </c>
      <c r="F12">
        <f>1+2+0+7+1+5+8+2+5+6+0</f>
        <v>37</v>
      </c>
      <c r="G12">
        <f>2+9+12+6+13+4+6+7+6+3+12</f>
        <v>80</v>
      </c>
      <c r="H12">
        <f t="shared" ref="H12" si="16">F12-G12</f>
        <v>-43</v>
      </c>
      <c r="I12">
        <f>60</f>
        <v>60</v>
      </c>
      <c r="K12">
        <f>20</f>
        <v>20</v>
      </c>
      <c r="L12">
        <f t="shared" si="5"/>
        <v>40</v>
      </c>
      <c r="M12">
        <f t="shared" ref="M12" si="17">D12*5</f>
        <v>0</v>
      </c>
      <c r="N12">
        <f>10+10+10</f>
        <v>30</v>
      </c>
      <c r="O12">
        <f t="shared" ref="O12" si="18">SUM(I12:N12)</f>
        <v>150</v>
      </c>
    </row>
    <row r="13" spans="1:27" x14ac:dyDescent="0.35">
      <c r="A13" s="3" t="s">
        <v>205</v>
      </c>
      <c r="B13">
        <f>1+1+1+1+1+1+1+1+1+1+1+1+1+1+1</f>
        <v>15</v>
      </c>
      <c r="C13">
        <f>1+1+1+1+1</f>
        <v>5</v>
      </c>
      <c r="D13">
        <f>1</f>
        <v>1</v>
      </c>
      <c r="E13" s="2">
        <f t="shared" si="4"/>
        <v>0.7142857142857143</v>
      </c>
      <c r="F13">
        <f>15+4+10+2+5+8+18+13+14+6+7+6+7+6+5+5+5+4+4+9+3</f>
        <v>156</v>
      </c>
      <c r="G13">
        <f>1+0+0+1+2+1+1+1+2+8+8+6+0+4+1+4+1+8+5+3+11</f>
        <v>68</v>
      </c>
      <c r="H13">
        <f t="shared" si="13"/>
        <v>88</v>
      </c>
      <c r="I13">
        <f>60+60+60</f>
        <v>180</v>
      </c>
      <c r="J13">
        <f>40</f>
        <v>40</v>
      </c>
      <c r="K13">
        <f>20</f>
        <v>20</v>
      </c>
      <c r="L13">
        <f t="shared" si="5"/>
        <v>150</v>
      </c>
      <c r="M13">
        <f t="shared" si="14"/>
        <v>5</v>
      </c>
      <c r="N13">
        <f>10+10+10+10+10+10</f>
        <v>60</v>
      </c>
      <c r="O13">
        <f t="shared" si="15"/>
        <v>455</v>
      </c>
    </row>
    <row r="14" spans="1:27" x14ac:dyDescent="0.35">
      <c r="A14" s="3" t="s">
        <v>85</v>
      </c>
      <c r="B14">
        <f>1</f>
        <v>1</v>
      </c>
      <c r="C14">
        <f>1</f>
        <v>1</v>
      </c>
      <c r="D14">
        <f>1</f>
        <v>1</v>
      </c>
      <c r="E14" s="2">
        <f t="shared" ref="E14" si="19">(B14)/(B14+C14+D14)</f>
        <v>0.33333333333333331</v>
      </c>
      <c r="F14">
        <f>6+4+9</f>
        <v>19</v>
      </c>
      <c r="G14">
        <f>6+6+4</f>
        <v>16</v>
      </c>
      <c r="H14">
        <f>F14-G14</f>
        <v>3</v>
      </c>
      <c r="I14">
        <f>60</f>
        <v>60</v>
      </c>
      <c r="L14">
        <f t="shared" ref="L14" si="20">B14*10</f>
        <v>10</v>
      </c>
      <c r="M14">
        <f>D14*5</f>
        <v>5</v>
      </c>
      <c r="N14">
        <f>10</f>
        <v>10</v>
      </c>
      <c r="O14">
        <f>SUM(I14:N14)</f>
        <v>85</v>
      </c>
    </row>
    <row r="15" spans="1:27" ht="16.5" customHeight="1" x14ac:dyDescent="0.35">
      <c r="A15" s="3" t="s">
        <v>59</v>
      </c>
      <c r="B15">
        <f>0</f>
        <v>0</v>
      </c>
      <c r="C15">
        <f>1+2+1+1+1+1+1+1+1</f>
        <v>10</v>
      </c>
      <c r="E15" s="2">
        <f t="shared" si="4"/>
        <v>0</v>
      </c>
      <c r="F15">
        <f>0+1+0+0+2+3+5+6+1</f>
        <v>18</v>
      </c>
      <c r="G15">
        <f>18+20+12+22+4+6+7+7+16</f>
        <v>112</v>
      </c>
      <c r="H15">
        <f t="shared" si="13"/>
        <v>-94</v>
      </c>
      <c r="L15">
        <f t="shared" si="5"/>
        <v>0</v>
      </c>
      <c r="M15">
        <f t="shared" si="14"/>
        <v>0</v>
      </c>
      <c r="N15">
        <f>10+10+10</f>
        <v>30</v>
      </c>
      <c r="O15">
        <f t="shared" si="15"/>
        <v>30</v>
      </c>
    </row>
    <row r="16" spans="1:27" x14ac:dyDescent="0.35">
      <c r="A16" s="3" t="s">
        <v>253</v>
      </c>
      <c r="B16">
        <f>1</f>
        <v>1</v>
      </c>
      <c r="C16">
        <f>1+1</f>
        <v>2</v>
      </c>
      <c r="E16" s="2">
        <f t="shared" si="4"/>
        <v>0.33333333333333331</v>
      </c>
      <c r="F16">
        <f>2+6+5</f>
        <v>13</v>
      </c>
      <c r="G16">
        <f>4+5+7</f>
        <v>16</v>
      </c>
      <c r="H16">
        <f t="shared" ref="H16" si="21">F16-G16</f>
        <v>-3</v>
      </c>
      <c r="K16">
        <f>20</f>
        <v>20</v>
      </c>
      <c r="L16">
        <f>B16*10</f>
        <v>10</v>
      </c>
      <c r="M16">
        <f t="shared" ref="M16" si="22">D16*5</f>
        <v>0</v>
      </c>
      <c r="N16">
        <f>10</f>
        <v>10</v>
      </c>
      <c r="O16">
        <f t="shared" ref="O16" si="23">SUM(I16:N16)</f>
        <v>40</v>
      </c>
    </row>
    <row r="17" spans="1:15" x14ac:dyDescent="0.35">
      <c r="A17" s="3" t="s">
        <v>240</v>
      </c>
      <c r="B17">
        <f>1+1</f>
        <v>2</v>
      </c>
      <c r="C17">
        <f>1+1</f>
        <v>2</v>
      </c>
      <c r="E17" s="2">
        <f t="shared" si="4"/>
        <v>0.5</v>
      </c>
      <c r="F17">
        <f>7+2+4+0</f>
        <v>13</v>
      </c>
      <c r="G17">
        <f>6+13+3+3</f>
        <v>25</v>
      </c>
      <c r="H17">
        <f>F17-G17</f>
        <v>-12</v>
      </c>
      <c r="J17">
        <f>40</f>
        <v>40</v>
      </c>
      <c r="L17">
        <f t="shared" si="5"/>
        <v>20</v>
      </c>
      <c r="M17">
        <f>D17*5</f>
        <v>0</v>
      </c>
      <c r="N17">
        <f>10</f>
        <v>10</v>
      </c>
      <c r="O17">
        <f>SUM(I17:N17)</f>
        <v>70</v>
      </c>
    </row>
    <row r="18" spans="1:15" x14ac:dyDescent="0.35">
      <c r="A18" s="3" t="s">
        <v>187</v>
      </c>
      <c r="B18">
        <f>1+1+1+1+1+1+1+1+1+1+1+1+1+1</f>
        <v>14</v>
      </c>
      <c r="C18">
        <f>1+1+1+1+1</f>
        <v>5</v>
      </c>
      <c r="E18" s="2">
        <f t="shared" si="4"/>
        <v>0.73684210526315785</v>
      </c>
      <c r="F18">
        <f>7+1+6+10+4+22+6+5+6+5+8+2+12+4+7+3+8+4+3</f>
        <v>123</v>
      </c>
      <c r="G18">
        <f>3+15+3+6+3+0+3+4+7+6+6+14+5+2+5+2+0+6+0</f>
        <v>90</v>
      </c>
      <c r="H18">
        <f t="shared" si="13"/>
        <v>33</v>
      </c>
      <c r="I18">
        <f>60+60+60</f>
        <v>180</v>
      </c>
      <c r="J18">
        <f>40</f>
        <v>40</v>
      </c>
      <c r="L18">
        <f t="shared" si="5"/>
        <v>140</v>
      </c>
      <c r="M18">
        <f t="shared" si="14"/>
        <v>0</v>
      </c>
      <c r="N18">
        <f>10+10+10+10+10</f>
        <v>50</v>
      </c>
      <c r="O18">
        <f t="shared" si="15"/>
        <v>410</v>
      </c>
    </row>
    <row r="19" spans="1:15" x14ac:dyDescent="0.35">
      <c r="A19" s="3" t="s">
        <v>262</v>
      </c>
      <c r="B19">
        <f>1</f>
        <v>1</v>
      </c>
      <c r="C19">
        <f>1+1</f>
        <v>2</v>
      </c>
      <c r="E19" s="2">
        <f t="shared" si="4"/>
        <v>0.33333333333333331</v>
      </c>
      <c r="F19">
        <f>7+1+1</f>
        <v>9</v>
      </c>
      <c r="G19">
        <f>5+5+7</f>
        <v>17</v>
      </c>
      <c r="H19">
        <f t="shared" ref="H19" si="24">F19-G19</f>
        <v>-8</v>
      </c>
      <c r="M19">
        <f t="shared" ref="M19" si="25">D19*5</f>
        <v>0</v>
      </c>
      <c r="N19">
        <f>10</f>
        <v>10</v>
      </c>
      <c r="O19">
        <f t="shared" ref="O19" si="26">SUM(I19:N19)</f>
        <v>10</v>
      </c>
    </row>
    <row r="20" spans="1:15" x14ac:dyDescent="0.35">
      <c r="A20" s="3" t="s">
        <v>219</v>
      </c>
      <c r="B20">
        <f>1+1+1</f>
        <v>3</v>
      </c>
      <c r="C20">
        <f>1+1+1+1+1+1+1+1+1+1+1</f>
        <v>11</v>
      </c>
      <c r="E20" s="2">
        <f t="shared" ref="E20" si="27">(B20)/(B20+C20+D20)</f>
        <v>0.21428571428571427</v>
      </c>
      <c r="F20">
        <f>2+4+2+7+1+3+0+5+5+5+2+3+6+2</f>
        <v>47</v>
      </c>
      <c r="G20">
        <f>5+3+3+5+7+4+7+6+1+8+9+11+11+12</f>
        <v>92</v>
      </c>
      <c r="H20">
        <f>F20-G20</f>
        <v>-45</v>
      </c>
      <c r="K20">
        <f>20+20</f>
        <v>40</v>
      </c>
      <c r="L20">
        <f t="shared" ref="L20" si="28">B20*10</f>
        <v>30</v>
      </c>
      <c r="M20">
        <f>D20*5</f>
        <v>0</v>
      </c>
      <c r="N20">
        <f>10+10+10+10</f>
        <v>40</v>
      </c>
      <c r="O20">
        <f>SUM(I20:N20)</f>
        <v>110</v>
      </c>
    </row>
    <row r="21" spans="1:15" x14ac:dyDescent="0.35">
      <c r="A21" s="3" t="s">
        <v>109</v>
      </c>
      <c r="B21">
        <f>1+1+1+1+1+1+1+1+1+1+1+1</f>
        <v>12</v>
      </c>
      <c r="C21">
        <f>1+1+1+1+1+1+1+1</f>
        <v>8</v>
      </c>
      <c r="E21" s="2">
        <f t="shared" si="4"/>
        <v>0.6</v>
      </c>
      <c r="F21">
        <f>18+3+12+6+3+6+16+4+7+10+12+2+1+4+2+9+5+5+12+2</f>
        <v>139</v>
      </c>
      <c r="G21">
        <f>0+7+0+10+4+3+0+5+2+2+0+3+0+3+5+2+6+4+2+8</f>
        <v>66</v>
      </c>
      <c r="H21">
        <f t="shared" si="13"/>
        <v>73</v>
      </c>
      <c r="J21">
        <f>40+40+40</f>
        <v>120</v>
      </c>
      <c r="K21">
        <f>20</f>
        <v>20</v>
      </c>
      <c r="L21">
        <f t="shared" si="5"/>
        <v>120</v>
      </c>
      <c r="M21">
        <f t="shared" si="14"/>
        <v>0</v>
      </c>
      <c r="N21">
        <f>10+10+10+10+10</f>
        <v>50</v>
      </c>
      <c r="O21">
        <f t="shared" si="15"/>
        <v>310</v>
      </c>
    </row>
    <row r="22" spans="1:15" x14ac:dyDescent="0.35">
      <c r="E22" s="2" t="e">
        <f t="shared" ref="E22:E77" si="29">(B22)/(B22+C22+D22)</f>
        <v>#DIV/0!</v>
      </c>
      <c r="H22">
        <f t="shared" si="13"/>
        <v>0</v>
      </c>
      <c r="M22">
        <f t="shared" si="14"/>
        <v>0</v>
      </c>
      <c r="O22">
        <f t="shared" si="15"/>
        <v>0</v>
      </c>
    </row>
    <row r="23" spans="1:15" x14ac:dyDescent="0.35">
      <c r="E23" s="2" t="e">
        <f t="shared" si="29"/>
        <v>#DIV/0!</v>
      </c>
      <c r="H23">
        <f t="shared" si="13"/>
        <v>0</v>
      </c>
      <c r="M23">
        <f t="shared" si="14"/>
        <v>0</v>
      </c>
      <c r="O23">
        <f t="shared" si="15"/>
        <v>0</v>
      </c>
    </row>
    <row r="24" spans="1:15" x14ac:dyDescent="0.35">
      <c r="E24" s="2" t="e">
        <f t="shared" si="29"/>
        <v>#DIV/0!</v>
      </c>
      <c r="H24">
        <f t="shared" si="13"/>
        <v>0</v>
      </c>
      <c r="M24">
        <f t="shared" si="14"/>
        <v>0</v>
      </c>
      <c r="O24">
        <f t="shared" si="15"/>
        <v>0</v>
      </c>
    </row>
    <row r="25" spans="1:15" x14ac:dyDescent="0.35">
      <c r="E25" s="2" t="e">
        <f t="shared" si="29"/>
        <v>#DIV/0!</v>
      </c>
      <c r="H25">
        <f t="shared" si="13"/>
        <v>0</v>
      </c>
      <c r="M25">
        <f t="shared" si="14"/>
        <v>0</v>
      </c>
      <c r="O25">
        <f t="shared" si="15"/>
        <v>0</v>
      </c>
    </row>
    <row r="26" spans="1:15" x14ac:dyDescent="0.35">
      <c r="E26" s="2" t="e">
        <f t="shared" si="29"/>
        <v>#DIV/0!</v>
      </c>
      <c r="H26">
        <f t="shared" si="13"/>
        <v>0</v>
      </c>
      <c r="M26">
        <f t="shared" si="14"/>
        <v>0</v>
      </c>
      <c r="O26">
        <f t="shared" si="15"/>
        <v>0</v>
      </c>
    </row>
    <row r="27" spans="1:15" x14ac:dyDescent="0.35">
      <c r="E27" s="2" t="e">
        <f t="shared" si="29"/>
        <v>#DIV/0!</v>
      </c>
      <c r="H27">
        <f t="shared" si="13"/>
        <v>0</v>
      </c>
      <c r="M27">
        <f t="shared" si="14"/>
        <v>0</v>
      </c>
      <c r="O27">
        <f t="shared" si="15"/>
        <v>0</v>
      </c>
    </row>
    <row r="28" spans="1:15" x14ac:dyDescent="0.35">
      <c r="E28" s="2" t="e">
        <f t="shared" si="29"/>
        <v>#DIV/0!</v>
      </c>
      <c r="H28">
        <f t="shared" si="13"/>
        <v>0</v>
      </c>
      <c r="M28">
        <f t="shared" si="14"/>
        <v>0</v>
      </c>
      <c r="O28">
        <f t="shared" si="15"/>
        <v>0</v>
      </c>
    </row>
    <row r="29" spans="1:15" x14ac:dyDescent="0.35">
      <c r="E29" s="2" t="e">
        <f t="shared" si="29"/>
        <v>#DIV/0!</v>
      </c>
      <c r="H29">
        <f t="shared" si="13"/>
        <v>0</v>
      </c>
      <c r="M29">
        <f t="shared" si="14"/>
        <v>0</v>
      </c>
      <c r="O29">
        <f t="shared" si="15"/>
        <v>0</v>
      </c>
    </row>
    <row r="30" spans="1:15" x14ac:dyDescent="0.35">
      <c r="E30" s="2" t="e">
        <f t="shared" si="29"/>
        <v>#DIV/0!</v>
      </c>
      <c r="H30">
        <f t="shared" si="13"/>
        <v>0</v>
      </c>
      <c r="M30">
        <f t="shared" si="14"/>
        <v>0</v>
      </c>
      <c r="O30">
        <f t="shared" si="15"/>
        <v>0</v>
      </c>
    </row>
    <row r="31" spans="1:15" x14ac:dyDescent="0.35">
      <c r="E31" s="2" t="e">
        <f t="shared" si="29"/>
        <v>#DIV/0!</v>
      </c>
      <c r="H31">
        <f t="shared" si="13"/>
        <v>0</v>
      </c>
      <c r="M31">
        <f t="shared" si="14"/>
        <v>0</v>
      </c>
      <c r="O31">
        <f t="shared" si="15"/>
        <v>0</v>
      </c>
    </row>
    <row r="32" spans="1:15" x14ac:dyDescent="0.35">
      <c r="E32" s="2" t="e">
        <f t="shared" si="29"/>
        <v>#DIV/0!</v>
      </c>
      <c r="H32">
        <f t="shared" si="13"/>
        <v>0</v>
      </c>
      <c r="M32">
        <f t="shared" si="14"/>
        <v>0</v>
      </c>
      <c r="O32">
        <f t="shared" si="15"/>
        <v>0</v>
      </c>
    </row>
    <row r="33" spans="5:15" x14ac:dyDescent="0.35">
      <c r="E33" s="2" t="e">
        <f t="shared" si="29"/>
        <v>#DIV/0!</v>
      </c>
      <c r="H33">
        <f t="shared" si="13"/>
        <v>0</v>
      </c>
      <c r="M33">
        <f t="shared" si="14"/>
        <v>0</v>
      </c>
      <c r="O33">
        <f t="shared" si="15"/>
        <v>0</v>
      </c>
    </row>
    <row r="34" spans="5:15" x14ac:dyDescent="0.35">
      <c r="E34" s="2" t="e">
        <f t="shared" si="29"/>
        <v>#DIV/0!</v>
      </c>
      <c r="H34">
        <f t="shared" si="13"/>
        <v>0</v>
      </c>
      <c r="M34">
        <f t="shared" si="14"/>
        <v>0</v>
      </c>
      <c r="O34">
        <f t="shared" si="15"/>
        <v>0</v>
      </c>
    </row>
    <row r="35" spans="5:15" x14ac:dyDescent="0.35">
      <c r="E35" s="2" t="e">
        <f t="shared" si="29"/>
        <v>#DIV/0!</v>
      </c>
      <c r="H35">
        <f t="shared" si="13"/>
        <v>0</v>
      </c>
      <c r="M35">
        <f t="shared" si="14"/>
        <v>0</v>
      </c>
      <c r="O35">
        <f t="shared" si="15"/>
        <v>0</v>
      </c>
    </row>
    <row r="36" spans="5:15" x14ac:dyDescent="0.35">
      <c r="E36" s="2" t="e">
        <f t="shared" si="29"/>
        <v>#DIV/0!</v>
      </c>
      <c r="H36">
        <f t="shared" si="13"/>
        <v>0</v>
      </c>
      <c r="M36">
        <f t="shared" si="14"/>
        <v>0</v>
      </c>
      <c r="O36">
        <f t="shared" si="15"/>
        <v>0</v>
      </c>
    </row>
    <row r="37" spans="5:15" x14ac:dyDescent="0.35">
      <c r="E37" s="2" t="e">
        <f t="shared" si="29"/>
        <v>#DIV/0!</v>
      </c>
      <c r="H37">
        <f t="shared" si="13"/>
        <v>0</v>
      </c>
      <c r="M37">
        <f t="shared" si="14"/>
        <v>0</v>
      </c>
      <c r="O37">
        <f t="shared" si="15"/>
        <v>0</v>
      </c>
    </row>
    <row r="38" spans="5:15" x14ac:dyDescent="0.35">
      <c r="E38" s="2" t="e">
        <f t="shared" si="29"/>
        <v>#DIV/0!</v>
      </c>
      <c r="H38">
        <f t="shared" si="13"/>
        <v>0</v>
      </c>
      <c r="M38">
        <f t="shared" si="14"/>
        <v>0</v>
      </c>
      <c r="O38">
        <f t="shared" si="15"/>
        <v>0</v>
      </c>
    </row>
    <row r="39" spans="5:15" x14ac:dyDescent="0.35">
      <c r="E39" s="2" t="e">
        <f t="shared" si="29"/>
        <v>#DIV/0!</v>
      </c>
      <c r="H39">
        <f t="shared" si="13"/>
        <v>0</v>
      </c>
      <c r="M39">
        <f t="shared" si="14"/>
        <v>0</v>
      </c>
      <c r="O39">
        <f t="shared" si="15"/>
        <v>0</v>
      </c>
    </row>
    <row r="40" spans="5:15" x14ac:dyDescent="0.35">
      <c r="E40" s="2" t="e">
        <f t="shared" si="29"/>
        <v>#DIV/0!</v>
      </c>
      <c r="H40">
        <f t="shared" si="13"/>
        <v>0</v>
      </c>
      <c r="M40">
        <f t="shared" si="14"/>
        <v>0</v>
      </c>
      <c r="O40">
        <f t="shared" si="15"/>
        <v>0</v>
      </c>
    </row>
    <row r="41" spans="5:15" x14ac:dyDescent="0.35">
      <c r="E41" s="2" t="e">
        <f t="shared" si="29"/>
        <v>#DIV/0!</v>
      </c>
      <c r="H41">
        <f t="shared" si="13"/>
        <v>0</v>
      </c>
      <c r="M41">
        <f t="shared" si="14"/>
        <v>0</v>
      </c>
      <c r="O41">
        <f t="shared" si="15"/>
        <v>0</v>
      </c>
    </row>
    <row r="42" spans="5:15" x14ac:dyDescent="0.35">
      <c r="E42" s="2" t="e">
        <f t="shared" si="29"/>
        <v>#DIV/0!</v>
      </c>
      <c r="H42">
        <f t="shared" si="13"/>
        <v>0</v>
      </c>
      <c r="M42">
        <f t="shared" si="14"/>
        <v>0</v>
      </c>
      <c r="O42">
        <f t="shared" si="15"/>
        <v>0</v>
      </c>
    </row>
    <row r="43" spans="5:15" x14ac:dyDescent="0.35">
      <c r="E43" s="2" t="e">
        <f t="shared" si="29"/>
        <v>#DIV/0!</v>
      </c>
      <c r="H43">
        <f t="shared" si="13"/>
        <v>0</v>
      </c>
      <c r="M43">
        <f t="shared" si="14"/>
        <v>0</v>
      </c>
      <c r="O43">
        <f t="shared" si="15"/>
        <v>0</v>
      </c>
    </row>
    <row r="44" spans="5:15" x14ac:dyDescent="0.35">
      <c r="E44" s="2" t="e">
        <f t="shared" si="29"/>
        <v>#DIV/0!</v>
      </c>
      <c r="H44">
        <f t="shared" si="13"/>
        <v>0</v>
      </c>
      <c r="M44">
        <f t="shared" si="14"/>
        <v>0</v>
      </c>
      <c r="O44">
        <f t="shared" si="15"/>
        <v>0</v>
      </c>
    </row>
    <row r="45" spans="5:15" x14ac:dyDescent="0.35">
      <c r="E45" s="2" t="e">
        <f t="shared" si="29"/>
        <v>#DIV/0!</v>
      </c>
      <c r="H45">
        <f t="shared" si="13"/>
        <v>0</v>
      </c>
      <c r="M45">
        <f t="shared" si="14"/>
        <v>0</v>
      </c>
      <c r="O45">
        <f t="shared" si="15"/>
        <v>0</v>
      </c>
    </row>
    <row r="46" spans="5:15" x14ac:dyDescent="0.35">
      <c r="E46" s="2" t="e">
        <f t="shared" si="29"/>
        <v>#DIV/0!</v>
      </c>
      <c r="H46">
        <f t="shared" si="13"/>
        <v>0</v>
      </c>
      <c r="M46">
        <f t="shared" si="14"/>
        <v>0</v>
      </c>
      <c r="O46">
        <f t="shared" si="15"/>
        <v>0</v>
      </c>
    </row>
    <row r="47" spans="5:15" x14ac:dyDescent="0.35">
      <c r="E47" s="2" t="e">
        <f t="shared" si="29"/>
        <v>#DIV/0!</v>
      </c>
      <c r="H47">
        <f t="shared" si="13"/>
        <v>0</v>
      </c>
      <c r="M47">
        <f t="shared" si="14"/>
        <v>0</v>
      </c>
      <c r="O47">
        <f t="shared" si="15"/>
        <v>0</v>
      </c>
    </row>
    <row r="48" spans="5:15" x14ac:dyDescent="0.35">
      <c r="E48" s="2" t="e">
        <f t="shared" si="29"/>
        <v>#DIV/0!</v>
      </c>
      <c r="H48">
        <f t="shared" si="13"/>
        <v>0</v>
      </c>
      <c r="M48">
        <f t="shared" si="14"/>
        <v>0</v>
      </c>
      <c r="O48">
        <f t="shared" si="15"/>
        <v>0</v>
      </c>
    </row>
    <row r="49" spans="5:15" x14ac:dyDescent="0.35">
      <c r="E49" s="2" t="e">
        <f t="shared" si="29"/>
        <v>#DIV/0!</v>
      </c>
      <c r="H49">
        <f t="shared" si="13"/>
        <v>0</v>
      </c>
      <c r="M49">
        <f t="shared" si="14"/>
        <v>0</v>
      </c>
      <c r="O49">
        <f t="shared" si="15"/>
        <v>0</v>
      </c>
    </row>
    <row r="50" spans="5:15" x14ac:dyDescent="0.35">
      <c r="E50" s="2" t="e">
        <f t="shared" si="29"/>
        <v>#DIV/0!</v>
      </c>
      <c r="H50">
        <f t="shared" si="13"/>
        <v>0</v>
      </c>
      <c r="M50">
        <f t="shared" si="14"/>
        <v>0</v>
      </c>
      <c r="O50">
        <f t="shared" si="15"/>
        <v>0</v>
      </c>
    </row>
    <row r="51" spans="5:15" x14ac:dyDescent="0.35">
      <c r="E51" s="2" t="e">
        <f t="shared" si="29"/>
        <v>#DIV/0!</v>
      </c>
      <c r="H51">
        <f t="shared" si="13"/>
        <v>0</v>
      </c>
      <c r="M51">
        <f t="shared" si="14"/>
        <v>0</v>
      </c>
      <c r="O51">
        <f t="shared" si="15"/>
        <v>0</v>
      </c>
    </row>
    <row r="52" spans="5:15" x14ac:dyDescent="0.35">
      <c r="E52" s="2" t="e">
        <f t="shared" si="29"/>
        <v>#DIV/0!</v>
      </c>
      <c r="H52">
        <f t="shared" si="13"/>
        <v>0</v>
      </c>
      <c r="M52">
        <f t="shared" si="14"/>
        <v>0</v>
      </c>
      <c r="O52">
        <f t="shared" si="15"/>
        <v>0</v>
      </c>
    </row>
    <row r="53" spans="5:15" x14ac:dyDescent="0.35">
      <c r="E53" s="2" t="e">
        <f t="shared" si="29"/>
        <v>#DIV/0!</v>
      </c>
      <c r="H53">
        <f t="shared" si="13"/>
        <v>0</v>
      </c>
      <c r="M53">
        <f t="shared" si="14"/>
        <v>0</v>
      </c>
      <c r="O53">
        <f t="shared" si="15"/>
        <v>0</v>
      </c>
    </row>
    <row r="54" spans="5:15" x14ac:dyDescent="0.35">
      <c r="E54" s="2" t="e">
        <f t="shared" si="29"/>
        <v>#DIV/0!</v>
      </c>
      <c r="H54">
        <f t="shared" si="13"/>
        <v>0</v>
      </c>
      <c r="M54">
        <f t="shared" si="14"/>
        <v>0</v>
      </c>
      <c r="O54">
        <f t="shared" si="15"/>
        <v>0</v>
      </c>
    </row>
    <row r="55" spans="5:15" x14ac:dyDescent="0.35">
      <c r="E55" s="2" t="e">
        <f t="shared" si="29"/>
        <v>#DIV/0!</v>
      </c>
      <c r="H55">
        <f t="shared" si="13"/>
        <v>0</v>
      </c>
      <c r="M55">
        <f t="shared" si="14"/>
        <v>0</v>
      </c>
      <c r="O55">
        <f t="shared" si="15"/>
        <v>0</v>
      </c>
    </row>
    <row r="56" spans="5:15" x14ac:dyDescent="0.35">
      <c r="E56" s="2" t="e">
        <f t="shared" si="29"/>
        <v>#DIV/0!</v>
      </c>
      <c r="H56">
        <f t="shared" si="13"/>
        <v>0</v>
      </c>
      <c r="M56">
        <f t="shared" si="14"/>
        <v>0</v>
      </c>
      <c r="O56">
        <f t="shared" si="15"/>
        <v>0</v>
      </c>
    </row>
    <row r="57" spans="5:15" x14ac:dyDescent="0.35">
      <c r="E57" s="2" t="e">
        <f t="shared" si="29"/>
        <v>#DIV/0!</v>
      </c>
      <c r="H57">
        <f t="shared" si="13"/>
        <v>0</v>
      </c>
      <c r="M57">
        <f t="shared" si="14"/>
        <v>0</v>
      </c>
      <c r="O57">
        <f t="shared" si="15"/>
        <v>0</v>
      </c>
    </row>
    <row r="58" spans="5:15" x14ac:dyDescent="0.35">
      <c r="E58" s="2" t="e">
        <f t="shared" si="29"/>
        <v>#DIV/0!</v>
      </c>
      <c r="H58">
        <f t="shared" si="13"/>
        <v>0</v>
      </c>
      <c r="M58">
        <f t="shared" si="14"/>
        <v>0</v>
      </c>
      <c r="O58">
        <f t="shared" si="15"/>
        <v>0</v>
      </c>
    </row>
    <row r="59" spans="5:15" x14ac:dyDescent="0.35">
      <c r="E59" s="2" t="e">
        <f t="shared" si="29"/>
        <v>#DIV/0!</v>
      </c>
      <c r="H59">
        <f t="shared" si="13"/>
        <v>0</v>
      </c>
      <c r="M59">
        <f t="shared" si="14"/>
        <v>0</v>
      </c>
      <c r="O59">
        <f t="shared" si="15"/>
        <v>0</v>
      </c>
    </row>
    <row r="60" spans="5:15" x14ac:dyDescent="0.35">
      <c r="E60" s="2" t="e">
        <f t="shared" si="29"/>
        <v>#DIV/0!</v>
      </c>
      <c r="H60">
        <f t="shared" si="13"/>
        <v>0</v>
      </c>
      <c r="M60">
        <f t="shared" si="14"/>
        <v>0</v>
      </c>
      <c r="O60">
        <f t="shared" si="15"/>
        <v>0</v>
      </c>
    </row>
    <row r="61" spans="5:15" x14ac:dyDescent="0.35">
      <c r="E61" s="2" t="e">
        <f t="shared" si="29"/>
        <v>#DIV/0!</v>
      </c>
      <c r="H61">
        <f t="shared" si="13"/>
        <v>0</v>
      </c>
      <c r="M61">
        <f t="shared" si="14"/>
        <v>0</v>
      </c>
      <c r="O61">
        <f t="shared" si="15"/>
        <v>0</v>
      </c>
    </row>
    <row r="62" spans="5:15" x14ac:dyDescent="0.35">
      <c r="E62" s="2" t="e">
        <f t="shared" si="29"/>
        <v>#DIV/0!</v>
      </c>
      <c r="H62">
        <f t="shared" si="13"/>
        <v>0</v>
      </c>
      <c r="M62">
        <f t="shared" si="14"/>
        <v>0</v>
      </c>
      <c r="O62">
        <f t="shared" si="15"/>
        <v>0</v>
      </c>
    </row>
    <row r="63" spans="5:15" x14ac:dyDescent="0.35">
      <c r="E63" s="2" t="e">
        <f t="shared" si="29"/>
        <v>#DIV/0!</v>
      </c>
      <c r="H63">
        <f t="shared" si="13"/>
        <v>0</v>
      </c>
      <c r="M63">
        <f t="shared" si="14"/>
        <v>0</v>
      </c>
      <c r="O63">
        <f t="shared" si="15"/>
        <v>0</v>
      </c>
    </row>
    <row r="64" spans="5:15" x14ac:dyDescent="0.35">
      <c r="E64" s="2" t="e">
        <f t="shared" si="29"/>
        <v>#DIV/0!</v>
      </c>
      <c r="H64">
        <f t="shared" si="13"/>
        <v>0</v>
      </c>
      <c r="M64">
        <f t="shared" si="14"/>
        <v>0</v>
      </c>
      <c r="O64">
        <f t="shared" si="15"/>
        <v>0</v>
      </c>
    </row>
    <row r="65" spans="5:15" x14ac:dyDescent="0.35">
      <c r="E65" s="2" t="e">
        <f t="shared" si="29"/>
        <v>#DIV/0!</v>
      </c>
      <c r="H65">
        <f t="shared" si="13"/>
        <v>0</v>
      </c>
      <c r="M65">
        <f t="shared" si="14"/>
        <v>0</v>
      </c>
      <c r="O65">
        <f t="shared" si="15"/>
        <v>0</v>
      </c>
    </row>
    <row r="66" spans="5:15" x14ac:dyDescent="0.35">
      <c r="E66" s="2" t="e">
        <f t="shared" si="29"/>
        <v>#DIV/0!</v>
      </c>
      <c r="H66">
        <f t="shared" si="13"/>
        <v>0</v>
      </c>
      <c r="M66">
        <f t="shared" si="14"/>
        <v>0</v>
      </c>
      <c r="O66">
        <f t="shared" si="15"/>
        <v>0</v>
      </c>
    </row>
    <row r="67" spans="5:15" x14ac:dyDescent="0.35">
      <c r="E67" s="2" t="e">
        <f t="shared" si="29"/>
        <v>#DIV/0!</v>
      </c>
      <c r="H67">
        <f t="shared" si="13"/>
        <v>0</v>
      </c>
      <c r="M67">
        <f t="shared" si="14"/>
        <v>0</v>
      </c>
      <c r="O67">
        <f t="shared" si="15"/>
        <v>0</v>
      </c>
    </row>
    <row r="68" spans="5:15" x14ac:dyDescent="0.35">
      <c r="E68" s="2" t="e">
        <f t="shared" si="29"/>
        <v>#DIV/0!</v>
      </c>
      <c r="H68">
        <f t="shared" si="13"/>
        <v>0</v>
      </c>
      <c r="M68">
        <f t="shared" si="14"/>
        <v>0</v>
      </c>
      <c r="O68">
        <f t="shared" si="15"/>
        <v>0</v>
      </c>
    </row>
    <row r="69" spans="5:15" x14ac:dyDescent="0.35">
      <c r="E69" s="2" t="e">
        <f t="shared" si="29"/>
        <v>#DIV/0!</v>
      </c>
      <c r="H69">
        <f t="shared" si="13"/>
        <v>0</v>
      </c>
      <c r="M69">
        <f t="shared" si="14"/>
        <v>0</v>
      </c>
      <c r="O69">
        <f t="shared" si="15"/>
        <v>0</v>
      </c>
    </row>
    <row r="70" spans="5:15" x14ac:dyDescent="0.35">
      <c r="E70" s="2" t="e">
        <f t="shared" si="29"/>
        <v>#DIV/0!</v>
      </c>
      <c r="H70">
        <f t="shared" si="13"/>
        <v>0</v>
      </c>
      <c r="M70">
        <f t="shared" si="14"/>
        <v>0</v>
      </c>
      <c r="O70">
        <f t="shared" si="15"/>
        <v>0</v>
      </c>
    </row>
    <row r="71" spans="5:15" x14ac:dyDescent="0.35">
      <c r="E71" s="2" t="e">
        <f t="shared" si="29"/>
        <v>#DIV/0!</v>
      </c>
      <c r="H71">
        <f t="shared" si="13"/>
        <v>0</v>
      </c>
      <c r="M71">
        <f t="shared" si="14"/>
        <v>0</v>
      </c>
      <c r="O71">
        <f t="shared" si="15"/>
        <v>0</v>
      </c>
    </row>
    <row r="72" spans="5:15" x14ac:dyDescent="0.35">
      <c r="E72" s="2" t="e">
        <f t="shared" si="29"/>
        <v>#DIV/0!</v>
      </c>
      <c r="H72">
        <f t="shared" si="13"/>
        <v>0</v>
      </c>
      <c r="M72">
        <f t="shared" si="14"/>
        <v>0</v>
      </c>
      <c r="O72">
        <f t="shared" si="15"/>
        <v>0</v>
      </c>
    </row>
    <row r="73" spans="5:15" x14ac:dyDescent="0.35">
      <c r="E73" s="2" t="e">
        <f t="shared" si="29"/>
        <v>#DIV/0!</v>
      </c>
      <c r="H73">
        <f t="shared" si="13"/>
        <v>0</v>
      </c>
      <c r="M73">
        <f t="shared" si="14"/>
        <v>0</v>
      </c>
      <c r="O73">
        <f t="shared" si="15"/>
        <v>0</v>
      </c>
    </row>
    <row r="74" spans="5:15" x14ac:dyDescent="0.35">
      <c r="E74" s="2" t="e">
        <f t="shared" si="29"/>
        <v>#DIV/0!</v>
      </c>
      <c r="H74">
        <f t="shared" si="13"/>
        <v>0</v>
      </c>
      <c r="M74">
        <f t="shared" si="14"/>
        <v>0</v>
      </c>
      <c r="O74">
        <f t="shared" si="15"/>
        <v>0</v>
      </c>
    </row>
    <row r="75" spans="5:15" x14ac:dyDescent="0.35">
      <c r="E75" s="2" t="e">
        <f t="shared" si="29"/>
        <v>#DIV/0!</v>
      </c>
      <c r="H75">
        <f t="shared" si="13"/>
        <v>0</v>
      </c>
      <c r="M75">
        <f t="shared" si="14"/>
        <v>0</v>
      </c>
      <c r="O75">
        <f t="shared" si="15"/>
        <v>0</v>
      </c>
    </row>
    <row r="76" spans="5:15" x14ac:dyDescent="0.35">
      <c r="E76" s="2" t="e">
        <f t="shared" si="29"/>
        <v>#DIV/0!</v>
      </c>
      <c r="H76">
        <f t="shared" si="13"/>
        <v>0</v>
      </c>
      <c r="M76">
        <f t="shared" si="14"/>
        <v>0</v>
      </c>
      <c r="O76">
        <f t="shared" si="15"/>
        <v>0</v>
      </c>
    </row>
    <row r="77" spans="5:15" x14ac:dyDescent="0.35">
      <c r="E77" s="2" t="e">
        <f t="shared" si="29"/>
        <v>#DIV/0!</v>
      </c>
      <c r="H77">
        <f t="shared" si="13"/>
        <v>0</v>
      </c>
      <c r="M77">
        <f t="shared" si="14"/>
        <v>0</v>
      </c>
      <c r="O77">
        <f t="shared" si="15"/>
        <v>0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66"/>
  <sheetViews>
    <sheetView workbookViewId="0">
      <selection activeCell="H3" sqref="H3"/>
    </sheetView>
  </sheetViews>
  <sheetFormatPr defaultRowHeight="14.5" x14ac:dyDescent="0.35"/>
  <cols>
    <col min="1" max="1" width="26.1796875" customWidth="1"/>
  </cols>
  <sheetData>
    <row r="1" spans="1:27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" t="s">
        <v>23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35">
      <c r="A3" t="s">
        <v>136</v>
      </c>
      <c r="B3">
        <f>2+1+1</f>
        <v>4</v>
      </c>
      <c r="C3">
        <f>2+1</f>
        <v>3</v>
      </c>
      <c r="D3">
        <v>0</v>
      </c>
      <c r="E3" s="2">
        <f t="shared" ref="E3:E36" si="0">(B3)/(B3+C3+D3)</f>
        <v>0.5714285714285714</v>
      </c>
      <c r="F3">
        <f>7+1+7+0+4+10+7</f>
        <v>36</v>
      </c>
      <c r="G3">
        <f>3+4+1+3+5+4+6</f>
        <v>26</v>
      </c>
      <c r="H3">
        <f t="shared" ref="H3:H36" si="1">F3-G3</f>
        <v>10</v>
      </c>
      <c r="I3">
        <f>60</f>
        <v>60</v>
      </c>
      <c r="J3">
        <f>40</f>
        <v>40</v>
      </c>
      <c r="L3">
        <f t="shared" ref="L3:L42" si="2">SUM(B3*10)</f>
        <v>40</v>
      </c>
      <c r="M3">
        <f t="shared" ref="M3:M36" si="3">D3*5</f>
        <v>0</v>
      </c>
      <c r="N3">
        <f>10+10</f>
        <v>20</v>
      </c>
      <c r="O3">
        <f t="shared" ref="O3:O36" si="4">SUM(I3:N3)</f>
        <v>160</v>
      </c>
    </row>
    <row r="4" spans="1:27" x14ac:dyDescent="0.35">
      <c r="A4" t="s">
        <v>82</v>
      </c>
      <c r="B4">
        <f>0</f>
        <v>0</v>
      </c>
      <c r="C4">
        <f>3</f>
        <v>3</v>
      </c>
      <c r="D4">
        <v>0</v>
      </c>
      <c r="E4" s="2">
        <f t="shared" si="0"/>
        <v>0</v>
      </c>
      <c r="F4">
        <f>5+2+0</f>
        <v>7</v>
      </c>
      <c r="G4">
        <f>6+6+7</f>
        <v>19</v>
      </c>
      <c r="H4">
        <f t="shared" si="1"/>
        <v>-12</v>
      </c>
      <c r="L4">
        <f t="shared" si="2"/>
        <v>0</v>
      </c>
      <c r="M4">
        <f t="shared" si="3"/>
        <v>0</v>
      </c>
      <c r="N4">
        <f>10</f>
        <v>10</v>
      </c>
      <c r="O4">
        <f t="shared" si="4"/>
        <v>10</v>
      </c>
    </row>
    <row r="5" spans="1:27" x14ac:dyDescent="0.35">
      <c r="A5" t="s">
        <v>252</v>
      </c>
      <c r="B5">
        <f>1+1</f>
        <v>2</v>
      </c>
      <c r="C5">
        <f>1+1</f>
        <v>2</v>
      </c>
      <c r="D5">
        <v>0</v>
      </c>
      <c r="E5" s="2">
        <f t="shared" ref="E5" si="5">(B5)/(B5+C5+D5)</f>
        <v>0.5</v>
      </c>
      <c r="F5">
        <f>4+14+13+6</f>
        <v>37</v>
      </c>
      <c r="G5">
        <f>10+1+3+7</f>
        <v>21</v>
      </c>
      <c r="H5">
        <f t="shared" ref="H5" si="6">F5-G5</f>
        <v>16</v>
      </c>
      <c r="J5">
        <f>40</f>
        <v>40</v>
      </c>
      <c r="L5">
        <f t="shared" ref="L5" si="7">SUM(B5*10)</f>
        <v>20</v>
      </c>
      <c r="M5">
        <f t="shared" ref="M5" si="8">D5*5</f>
        <v>0</v>
      </c>
      <c r="N5">
        <f>10</f>
        <v>10</v>
      </c>
      <c r="O5">
        <f t="shared" ref="O5" si="9">SUM(I5:N5)</f>
        <v>70</v>
      </c>
    </row>
    <row r="6" spans="1:27" x14ac:dyDescent="0.35">
      <c r="A6" t="s">
        <v>137</v>
      </c>
      <c r="B6">
        <f>1</f>
        <v>1</v>
      </c>
      <c r="C6">
        <f>2</f>
        <v>2</v>
      </c>
      <c r="D6">
        <v>0</v>
      </c>
      <c r="E6" s="2">
        <f t="shared" si="0"/>
        <v>0.33333333333333331</v>
      </c>
      <c r="F6">
        <f>3+6+1</f>
        <v>10</v>
      </c>
      <c r="G6">
        <f>7+5+7</f>
        <v>19</v>
      </c>
      <c r="H6">
        <f t="shared" si="1"/>
        <v>-9</v>
      </c>
      <c r="K6">
        <f>20</f>
        <v>20</v>
      </c>
      <c r="L6">
        <f t="shared" si="2"/>
        <v>10</v>
      </c>
      <c r="M6">
        <f t="shared" si="3"/>
        <v>0</v>
      </c>
      <c r="N6">
        <f>10</f>
        <v>10</v>
      </c>
      <c r="O6">
        <f t="shared" si="4"/>
        <v>40</v>
      </c>
    </row>
    <row r="7" spans="1:27" x14ac:dyDescent="0.35">
      <c r="A7" t="s">
        <v>150</v>
      </c>
      <c r="B7">
        <f>1</f>
        <v>1</v>
      </c>
      <c r="C7">
        <f>1+1</f>
        <v>2</v>
      </c>
      <c r="D7">
        <v>0</v>
      </c>
      <c r="E7" s="2">
        <f t="shared" si="0"/>
        <v>0.33333333333333331</v>
      </c>
      <c r="F7">
        <f>5+1+3</f>
        <v>9</v>
      </c>
      <c r="G7">
        <f>4+14+13</f>
        <v>31</v>
      </c>
      <c r="H7">
        <f t="shared" si="1"/>
        <v>-22</v>
      </c>
      <c r="K7">
        <f>20</f>
        <v>20</v>
      </c>
      <c r="L7">
        <f t="shared" si="2"/>
        <v>10</v>
      </c>
      <c r="M7">
        <f t="shared" si="3"/>
        <v>0</v>
      </c>
      <c r="N7">
        <f>10</f>
        <v>10</v>
      </c>
      <c r="O7">
        <f t="shared" si="4"/>
        <v>40</v>
      </c>
    </row>
    <row r="8" spans="1:27" x14ac:dyDescent="0.35">
      <c r="A8" t="s">
        <v>138</v>
      </c>
      <c r="B8">
        <f>4</f>
        <v>4</v>
      </c>
      <c r="C8">
        <f>0</f>
        <v>0</v>
      </c>
      <c r="D8">
        <v>0</v>
      </c>
      <c r="E8" s="2">
        <f t="shared" si="0"/>
        <v>1</v>
      </c>
      <c r="F8">
        <f>4+6+7+3</f>
        <v>20</v>
      </c>
      <c r="G8">
        <f>1+2+0+0</f>
        <v>3</v>
      </c>
      <c r="H8">
        <f t="shared" si="1"/>
        <v>17</v>
      </c>
      <c r="I8">
        <f>60</f>
        <v>60</v>
      </c>
      <c r="L8">
        <f t="shared" si="2"/>
        <v>40</v>
      </c>
      <c r="M8">
        <f t="shared" si="3"/>
        <v>0</v>
      </c>
      <c r="N8">
        <f>10</f>
        <v>10</v>
      </c>
      <c r="O8">
        <f t="shared" si="4"/>
        <v>110</v>
      </c>
    </row>
    <row r="9" spans="1:27" x14ac:dyDescent="0.35">
      <c r="E9" s="2" t="e">
        <f t="shared" si="0"/>
        <v>#DIV/0!</v>
      </c>
      <c r="H9">
        <f t="shared" si="1"/>
        <v>0</v>
      </c>
      <c r="L9">
        <f t="shared" si="2"/>
        <v>0</v>
      </c>
      <c r="M9">
        <f t="shared" si="3"/>
        <v>0</v>
      </c>
      <c r="O9">
        <f t="shared" si="4"/>
        <v>0</v>
      </c>
    </row>
    <row r="10" spans="1:27" x14ac:dyDescent="0.35">
      <c r="E10" s="2" t="e">
        <f t="shared" si="0"/>
        <v>#DIV/0!</v>
      </c>
      <c r="H10">
        <f t="shared" si="1"/>
        <v>0</v>
      </c>
      <c r="L10">
        <f t="shared" si="2"/>
        <v>0</v>
      </c>
      <c r="M10">
        <f t="shared" si="3"/>
        <v>0</v>
      </c>
      <c r="O10">
        <f t="shared" si="4"/>
        <v>0</v>
      </c>
    </row>
    <row r="11" spans="1:27" x14ac:dyDescent="0.35">
      <c r="E11" s="2" t="e">
        <f t="shared" si="0"/>
        <v>#DIV/0!</v>
      </c>
      <c r="H11">
        <f t="shared" si="1"/>
        <v>0</v>
      </c>
      <c r="L11">
        <f t="shared" si="2"/>
        <v>0</v>
      </c>
      <c r="M11">
        <f t="shared" si="3"/>
        <v>0</v>
      </c>
      <c r="O11">
        <f t="shared" si="4"/>
        <v>0</v>
      </c>
    </row>
    <row r="12" spans="1:27" x14ac:dyDescent="0.35">
      <c r="E12" s="2" t="e">
        <f t="shared" si="0"/>
        <v>#DIV/0!</v>
      </c>
      <c r="H12">
        <f t="shared" si="1"/>
        <v>0</v>
      </c>
      <c r="L12">
        <f t="shared" si="2"/>
        <v>0</v>
      </c>
      <c r="M12">
        <f t="shared" si="3"/>
        <v>0</v>
      </c>
      <c r="O12">
        <f t="shared" si="4"/>
        <v>0</v>
      </c>
    </row>
    <row r="13" spans="1:27" x14ac:dyDescent="0.35">
      <c r="E13" s="2" t="e">
        <f t="shared" si="0"/>
        <v>#DIV/0!</v>
      </c>
      <c r="H13">
        <f t="shared" si="1"/>
        <v>0</v>
      </c>
      <c r="L13">
        <f t="shared" si="2"/>
        <v>0</v>
      </c>
      <c r="M13">
        <f t="shared" si="3"/>
        <v>0</v>
      </c>
      <c r="O13">
        <f t="shared" si="4"/>
        <v>0</v>
      </c>
    </row>
    <row r="14" spans="1:27" x14ac:dyDescent="0.35">
      <c r="E14" s="2" t="e">
        <f t="shared" si="0"/>
        <v>#DIV/0!</v>
      </c>
      <c r="H14">
        <f t="shared" si="1"/>
        <v>0</v>
      </c>
      <c r="L14">
        <f t="shared" si="2"/>
        <v>0</v>
      </c>
      <c r="M14">
        <f t="shared" si="3"/>
        <v>0</v>
      </c>
      <c r="O14">
        <f t="shared" si="4"/>
        <v>0</v>
      </c>
    </row>
    <row r="15" spans="1:27" x14ac:dyDescent="0.35">
      <c r="E15" s="2" t="e">
        <f t="shared" si="0"/>
        <v>#DIV/0!</v>
      </c>
      <c r="H15">
        <f t="shared" si="1"/>
        <v>0</v>
      </c>
      <c r="L15">
        <f t="shared" si="2"/>
        <v>0</v>
      </c>
      <c r="M15">
        <f t="shared" si="3"/>
        <v>0</v>
      </c>
      <c r="O15">
        <f t="shared" si="4"/>
        <v>0</v>
      </c>
    </row>
    <row r="16" spans="1:27" x14ac:dyDescent="0.35">
      <c r="E16" s="2" t="e">
        <f t="shared" si="0"/>
        <v>#DIV/0!</v>
      </c>
      <c r="H16">
        <f t="shared" si="1"/>
        <v>0</v>
      </c>
      <c r="L16">
        <f t="shared" si="2"/>
        <v>0</v>
      </c>
      <c r="M16">
        <f t="shared" si="3"/>
        <v>0</v>
      </c>
      <c r="O16">
        <f t="shared" si="4"/>
        <v>0</v>
      </c>
    </row>
    <row r="17" spans="5:15" x14ac:dyDescent="0.35">
      <c r="E17" s="2" t="e">
        <f t="shared" si="0"/>
        <v>#DIV/0!</v>
      </c>
      <c r="H17">
        <f t="shared" si="1"/>
        <v>0</v>
      </c>
      <c r="L17">
        <f t="shared" si="2"/>
        <v>0</v>
      </c>
      <c r="M17">
        <f t="shared" si="3"/>
        <v>0</v>
      </c>
      <c r="O17">
        <f t="shared" si="4"/>
        <v>0</v>
      </c>
    </row>
    <row r="18" spans="5:15" x14ac:dyDescent="0.35">
      <c r="E18" s="2" t="e">
        <f t="shared" si="0"/>
        <v>#DIV/0!</v>
      </c>
      <c r="H18">
        <f t="shared" si="1"/>
        <v>0</v>
      </c>
      <c r="L18">
        <f t="shared" si="2"/>
        <v>0</v>
      </c>
      <c r="M18">
        <f t="shared" si="3"/>
        <v>0</v>
      </c>
      <c r="O18">
        <f t="shared" si="4"/>
        <v>0</v>
      </c>
    </row>
    <row r="19" spans="5:15" x14ac:dyDescent="0.35">
      <c r="E19" s="2" t="e">
        <f t="shared" si="0"/>
        <v>#DIV/0!</v>
      </c>
      <c r="H19">
        <f t="shared" si="1"/>
        <v>0</v>
      </c>
      <c r="L19">
        <f t="shared" si="2"/>
        <v>0</v>
      </c>
      <c r="M19">
        <f t="shared" si="3"/>
        <v>0</v>
      </c>
      <c r="O19">
        <f t="shared" si="4"/>
        <v>0</v>
      </c>
    </row>
    <row r="20" spans="5:15" x14ac:dyDescent="0.35">
      <c r="E20" s="2" t="e">
        <f t="shared" si="0"/>
        <v>#DIV/0!</v>
      </c>
      <c r="H20">
        <f t="shared" si="1"/>
        <v>0</v>
      </c>
      <c r="L20">
        <f t="shared" si="2"/>
        <v>0</v>
      </c>
      <c r="M20">
        <f t="shared" si="3"/>
        <v>0</v>
      </c>
      <c r="O20">
        <f t="shared" si="4"/>
        <v>0</v>
      </c>
    </row>
    <row r="21" spans="5:15" x14ac:dyDescent="0.35">
      <c r="E21" s="2" t="e">
        <f t="shared" si="0"/>
        <v>#DIV/0!</v>
      </c>
      <c r="H21">
        <f t="shared" si="1"/>
        <v>0</v>
      </c>
      <c r="L21">
        <f t="shared" si="2"/>
        <v>0</v>
      </c>
      <c r="M21">
        <f t="shared" si="3"/>
        <v>0</v>
      </c>
      <c r="O21">
        <f t="shared" si="4"/>
        <v>0</v>
      </c>
    </row>
    <row r="22" spans="5:15" x14ac:dyDescent="0.35">
      <c r="E22" s="2" t="e">
        <f t="shared" si="0"/>
        <v>#DIV/0!</v>
      </c>
      <c r="H22">
        <f t="shared" si="1"/>
        <v>0</v>
      </c>
      <c r="L22">
        <f t="shared" si="2"/>
        <v>0</v>
      </c>
      <c r="M22">
        <f t="shared" si="3"/>
        <v>0</v>
      </c>
      <c r="O22">
        <f t="shared" si="4"/>
        <v>0</v>
      </c>
    </row>
    <row r="23" spans="5:15" x14ac:dyDescent="0.35">
      <c r="E23" s="2" t="e">
        <f t="shared" si="0"/>
        <v>#DIV/0!</v>
      </c>
      <c r="H23">
        <f t="shared" si="1"/>
        <v>0</v>
      </c>
      <c r="L23">
        <f t="shared" si="2"/>
        <v>0</v>
      </c>
      <c r="M23">
        <f t="shared" si="3"/>
        <v>0</v>
      </c>
      <c r="O23">
        <f t="shared" si="4"/>
        <v>0</v>
      </c>
    </row>
    <row r="24" spans="5:15" x14ac:dyDescent="0.35">
      <c r="E24" s="2" t="e">
        <f t="shared" si="0"/>
        <v>#DIV/0!</v>
      </c>
      <c r="H24">
        <f t="shared" si="1"/>
        <v>0</v>
      </c>
      <c r="L24">
        <f t="shared" si="2"/>
        <v>0</v>
      </c>
      <c r="M24">
        <f t="shared" si="3"/>
        <v>0</v>
      </c>
      <c r="O24">
        <f t="shared" si="4"/>
        <v>0</v>
      </c>
    </row>
    <row r="25" spans="5:15" x14ac:dyDescent="0.35">
      <c r="E25" s="2" t="e">
        <f t="shared" si="0"/>
        <v>#DIV/0!</v>
      </c>
      <c r="H25">
        <f t="shared" si="1"/>
        <v>0</v>
      </c>
      <c r="L25">
        <f t="shared" si="2"/>
        <v>0</v>
      </c>
      <c r="M25">
        <f t="shared" si="3"/>
        <v>0</v>
      </c>
      <c r="O25">
        <f t="shared" si="4"/>
        <v>0</v>
      </c>
    </row>
    <row r="26" spans="5:15" x14ac:dyDescent="0.35">
      <c r="E26" s="2" t="e">
        <f t="shared" si="0"/>
        <v>#DIV/0!</v>
      </c>
      <c r="H26">
        <f t="shared" si="1"/>
        <v>0</v>
      </c>
      <c r="L26">
        <f t="shared" si="2"/>
        <v>0</v>
      </c>
      <c r="M26">
        <f t="shared" si="3"/>
        <v>0</v>
      </c>
      <c r="O26">
        <f t="shared" si="4"/>
        <v>0</v>
      </c>
    </row>
    <row r="27" spans="5:15" x14ac:dyDescent="0.35">
      <c r="E27" s="2" t="e">
        <f t="shared" si="0"/>
        <v>#DIV/0!</v>
      </c>
      <c r="H27">
        <f t="shared" si="1"/>
        <v>0</v>
      </c>
      <c r="L27">
        <f t="shared" si="2"/>
        <v>0</v>
      </c>
      <c r="M27">
        <f t="shared" si="3"/>
        <v>0</v>
      </c>
      <c r="O27">
        <f t="shared" si="4"/>
        <v>0</v>
      </c>
    </row>
    <row r="28" spans="5:15" x14ac:dyDescent="0.35">
      <c r="E28" s="2" t="e">
        <f t="shared" si="0"/>
        <v>#DIV/0!</v>
      </c>
      <c r="H28">
        <f t="shared" si="1"/>
        <v>0</v>
      </c>
      <c r="L28">
        <f t="shared" si="2"/>
        <v>0</v>
      </c>
      <c r="M28">
        <f t="shared" si="3"/>
        <v>0</v>
      </c>
      <c r="O28">
        <f t="shared" si="4"/>
        <v>0</v>
      </c>
    </row>
    <row r="29" spans="5:15" x14ac:dyDescent="0.35">
      <c r="E29" s="2" t="e">
        <f t="shared" si="0"/>
        <v>#DIV/0!</v>
      </c>
      <c r="H29">
        <f t="shared" si="1"/>
        <v>0</v>
      </c>
      <c r="L29">
        <f t="shared" si="2"/>
        <v>0</v>
      </c>
      <c r="M29">
        <f t="shared" si="3"/>
        <v>0</v>
      </c>
      <c r="O29">
        <f t="shared" si="4"/>
        <v>0</v>
      </c>
    </row>
    <row r="30" spans="5:15" x14ac:dyDescent="0.35">
      <c r="E30" s="2" t="e">
        <f t="shared" si="0"/>
        <v>#DIV/0!</v>
      </c>
      <c r="H30">
        <f t="shared" si="1"/>
        <v>0</v>
      </c>
      <c r="L30">
        <f t="shared" si="2"/>
        <v>0</v>
      </c>
      <c r="M30">
        <f t="shared" si="3"/>
        <v>0</v>
      </c>
      <c r="O30">
        <f t="shared" si="4"/>
        <v>0</v>
      </c>
    </row>
    <row r="31" spans="5:15" x14ac:dyDescent="0.35">
      <c r="E31" s="2" t="e">
        <f t="shared" si="0"/>
        <v>#DIV/0!</v>
      </c>
      <c r="H31">
        <f t="shared" si="1"/>
        <v>0</v>
      </c>
      <c r="L31">
        <f t="shared" si="2"/>
        <v>0</v>
      </c>
      <c r="M31">
        <f t="shared" si="3"/>
        <v>0</v>
      </c>
      <c r="O31">
        <f t="shared" si="4"/>
        <v>0</v>
      </c>
    </row>
    <row r="32" spans="5:15" x14ac:dyDescent="0.35">
      <c r="E32" s="2" t="e">
        <f t="shared" si="0"/>
        <v>#DIV/0!</v>
      </c>
      <c r="H32">
        <f t="shared" si="1"/>
        <v>0</v>
      </c>
      <c r="L32">
        <f t="shared" si="2"/>
        <v>0</v>
      </c>
      <c r="M32">
        <f t="shared" si="3"/>
        <v>0</v>
      </c>
      <c r="O32">
        <f t="shared" si="4"/>
        <v>0</v>
      </c>
    </row>
    <row r="33" spans="5:15" x14ac:dyDescent="0.35">
      <c r="E33" s="2" t="e">
        <f t="shared" si="0"/>
        <v>#DIV/0!</v>
      </c>
      <c r="H33">
        <f t="shared" si="1"/>
        <v>0</v>
      </c>
      <c r="L33">
        <f t="shared" si="2"/>
        <v>0</v>
      </c>
      <c r="M33">
        <f t="shared" si="3"/>
        <v>0</v>
      </c>
      <c r="O33">
        <f t="shared" si="4"/>
        <v>0</v>
      </c>
    </row>
    <row r="34" spans="5:15" x14ac:dyDescent="0.35">
      <c r="E34" s="2" t="e">
        <f t="shared" si="0"/>
        <v>#DIV/0!</v>
      </c>
      <c r="H34">
        <f t="shared" si="1"/>
        <v>0</v>
      </c>
      <c r="L34">
        <f t="shared" si="2"/>
        <v>0</v>
      </c>
      <c r="M34">
        <f t="shared" si="3"/>
        <v>0</v>
      </c>
      <c r="O34">
        <f t="shared" si="4"/>
        <v>0</v>
      </c>
    </row>
    <row r="35" spans="5:15" x14ac:dyDescent="0.35">
      <c r="E35" s="2" t="e">
        <f t="shared" si="0"/>
        <v>#DIV/0!</v>
      </c>
      <c r="H35">
        <f t="shared" si="1"/>
        <v>0</v>
      </c>
      <c r="L35">
        <f t="shared" si="2"/>
        <v>0</v>
      </c>
      <c r="M35">
        <f t="shared" si="3"/>
        <v>0</v>
      </c>
      <c r="O35">
        <f t="shared" si="4"/>
        <v>0</v>
      </c>
    </row>
    <row r="36" spans="5:15" x14ac:dyDescent="0.35">
      <c r="E36" s="2" t="e">
        <f t="shared" si="0"/>
        <v>#DIV/0!</v>
      </c>
      <c r="H36">
        <f t="shared" si="1"/>
        <v>0</v>
      </c>
      <c r="L36">
        <f t="shared" si="2"/>
        <v>0</v>
      </c>
      <c r="M36">
        <f t="shared" si="3"/>
        <v>0</v>
      </c>
      <c r="O36">
        <f t="shared" si="4"/>
        <v>0</v>
      </c>
    </row>
    <row r="37" spans="5:15" x14ac:dyDescent="0.35">
      <c r="E37" s="2" t="e">
        <f t="shared" ref="E37:E66" si="10">(B37)/(B37+C37+D37)</f>
        <v>#DIV/0!</v>
      </c>
      <c r="H37">
        <f t="shared" ref="H37:H66" si="11">F37-G37</f>
        <v>0</v>
      </c>
      <c r="L37">
        <f t="shared" si="2"/>
        <v>0</v>
      </c>
      <c r="M37">
        <f t="shared" ref="M37:M66" si="12">D37*5</f>
        <v>0</v>
      </c>
      <c r="O37">
        <f t="shared" ref="O37:O66" si="13">SUM(I37:N37)</f>
        <v>0</v>
      </c>
    </row>
    <row r="38" spans="5:15" x14ac:dyDescent="0.35">
      <c r="E38" s="2" t="e">
        <f t="shared" si="10"/>
        <v>#DIV/0!</v>
      </c>
      <c r="H38">
        <f t="shared" si="11"/>
        <v>0</v>
      </c>
      <c r="L38">
        <f t="shared" si="2"/>
        <v>0</v>
      </c>
      <c r="M38">
        <f t="shared" si="12"/>
        <v>0</v>
      </c>
      <c r="O38">
        <f t="shared" si="13"/>
        <v>0</v>
      </c>
    </row>
    <row r="39" spans="5:15" x14ac:dyDescent="0.35">
      <c r="E39" s="2" t="e">
        <f t="shared" si="10"/>
        <v>#DIV/0!</v>
      </c>
      <c r="H39">
        <f t="shared" si="11"/>
        <v>0</v>
      </c>
      <c r="L39">
        <f t="shared" si="2"/>
        <v>0</v>
      </c>
      <c r="M39">
        <f t="shared" si="12"/>
        <v>0</v>
      </c>
      <c r="O39">
        <f t="shared" si="13"/>
        <v>0</v>
      </c>
    </row>
    <row r="40" spans="5:15" x14ac:dyDescent="0.35">
      <c r="E40" s="2" t="e">
        <f t="shared" si="10"/>
        <v>#DIV/0!</v>
      </c>
      <c r="H40">
        <f t="shared" si="11"/>
        <v>0</v>
      </c>
      <c r="L40">
        <f t="shared" si="2"/>
        <v>0</v>
      </c>
      <c r="M40">
        <f t="shared" si="12"/>
        <v>0</v>
      </c>
      <c r="O40">
        <f t="shared" si="13"/>
        <v>0</v>
      </c>
    </row>
    <row r="41" spans="5:15" x14ac:dyDescent="0.35">
      <c r="E41" s="2" t="e">
        <f t="shared" si="10"/>
        <v>#DIV/0!</v>
      </c>
      <c r="H41">
        <f t="shared" si="11"/>
        <v>0</v>
      </c>
      <c r="L41">
        <f t="shared" si="2"/>
        <v>0</v>
      </c>
      <c r="M41">
        <f t="shared" si="12"/>
        <v>0</v>
      </c>
      <c r="O41">
        <f t="shared" si="13"/>
        <v>0</v>
      </c>
    </row>
    <row r="42" spans="5:15" x14ac:dyDescent="0.35">
      <c r="E42" s="2" t="e">
        <f t="shared" si="10"/>
        <v>#DIV/0!</v>
      </c>
      <c r="H42">
        <f t="shared" si="11"/>
        <v>0</v>
      </c>
      <c r="L42">
        <f t="shared" si="2"/>
        <v>0</v>
      </c>
      <c r="M42">
        <f t="shared" si="12"/>
        <v>0</v>
      </c>
      <c r="O42">
        <f t="shared" si="13"/>
        <v>0</v>
      </c>
    </row>
    <row r="43" spans="5:15" x14ac:dyDescent="0.35">
      <c r="E43" t="e">
        <f t="shared" si="10"/>
        <v>#DIV/0!</v>
      </c>
      <c r="H43">
        <f t="shared" si="11"/>
        <v>0</v>
      </c>
      <c r="M43">
        <f t="shared" si="12"/>
        <v>0</v>
      </c>
      <c r="O43">
        <f t="shared" si="13"/>
        <v>0</v>
      </c>
    </row>
    <row r="44" spans="5:15" x14ac:dyDescent="0.35">
      <c r="E44" t="e">
        <f t="shared" si="10"/>
        <v>#DIV/0!</v>
      </c>
      <c r="H44">
        <f t="shared" si="11"/>
        <v>0</v>
      </c>
      <c r="M44">
        <f t="shared" si="12"/>
        <v>0</v>
      </c>
      <c r="O44">
        <f t="shared" si="13"/>
        <v>0</v>
      </c>
    </row>
    <row r="45" spans="5:15" x14ac:dyDescent="0.35">
      <c r="E45" t="e">
        <f t="shared" si="10"/>
        <v>#DIV/0!</v>
      </c>
      <c r="H45">
        <f t="shared" si="11"/>
        <v>0</v>
      </c>
      <c r="M45">
        <f t="shared" si="12"/>
        <v>0</v>
      </c>
      <c r="O45">
        <f t="shared" si="13"/>
        <v>0</v>
      </c>
    </row>
    <row r="46" spans="5:15" x14ac:dyDescent="0.35">
      <c r="E46" t="e">
        <f t="shared" si="10"/>
        <v>#DIV/0!</v>
      </c>
      <c r="H46">
        <f t="shared" si="11"/>
        <v>0</v>
      </c>
      <c r="M46">
        <f t="shared" si="12"/>
        <v>0</v>
      </c>
      <c r="O46">
        <f t="shared" si="13"/>
        <v>0</v>
      </c>
    </row>
    <row r="47" spans="5:15" x14ac:dyDescent="0.35">
      <c r="E47" t="e">
        <f t="shared" si="10"/>
        <v>#DIV/0!</v>
      </c>
      <c r="H47">
        <f t="shared" si="11"/>
        <v>0</v>
      </c>
      <c r="M47">
        <f t="shared" si="12"/>
        <v>0</v>
      </c>
      <c r="O47">
        <f t="shared" si="13"/>
        <v>0</v>
      </c>
    </row>
    <row r="48" spans="5:15" x14ac:dyDescent="0.35">
      <c r="E48" t="e">
        <f t="shared" si="10"/>
        <v>#DIV/0!</v>
      </c>
      <c r="H48">
        <f t="shared" si="11"/>
        <v>0</v>
      </c>
      <c r="M48">
        <f t="shared" si="12"/>
        <v>0</v>
      </c>
      <c r="O48">
        <f t="shared" si="13"/>
        <v>0</v>
      </c>
    </row>
    <row r="49" spans="5:15" x14ac:dyDescent="0.35">
      <c r="E49" t="e">
        <f t="shared" si="10"/>
        <v>#DIV/0!</v>
      </c>
      <c r="H49">
        <f t="shared" si="11"/>
        <v>0</v>
      </c>
      <c r="M49">
        <f t="shared" si="12"/>
        <v>0</v>
      </c>
      <c r="O49">
        <f t="shared" si="13"/>
        <v>0</v>
      </c>
    </row>
    <row r="50" spans="5:15" x14ac:dyDescent="0.35">
      <c r="E50" t="e">
        <f t="shared" si="10"/>
        <v>#DIV/0!</v>
      </c>
      <c r="H50">
        <f t="shared" si="11"/>
        <v>0</v>
      </c>
      <c r="M50">
        <f t="shared" si="12"/>
        <v>0</v>
      </c>
      <c r="O50">
        <f t="shared" si="13"/>
        <v>0</v>
      </c>
    </row>
    <row r="51" spans="5:15" x14ac:dyDescent="0.35">
      <c r="E51" t="e">
        <f t="shared" si="10"/>
        <v>#DIV/0!</v>
      </c>
      <c r="H51">
        <f t="shared" si="11"/>
        <v>0</v>
      </c>
      <c r="M51">
        <f t="shared" si="12"/>
        <v>0</v>
      </c>
      <c r="O51">
        <f t="shared" si="13"/>
        <v>0</v>
      </c>
    </row>
    <row r="52" spans="5:15" x14ac:dyDescent="0.35">
      <c r="E52" t="e">
        <f t="shared" si="10"/>
        <v>#DIV/0!</v>
      </c>
      <c r="H52">
        <f t="shared" si="11"/>
        <v>0</v>
      </c>
      <c r="M52">
        <f t="shared" si="12"/>
        <v>0</v>
      </c>
      <c r="O52">
        <f t="shared" si="13"/>
        <v>0</v>
      </c>
    </row>
    <row r="53" spans="5:15" x14ac:dyDescent="0.35">
      <c r="E53" t="e">
        <f t="shared" si="10"/>
        <v>#DIV/0!</v>
      </c>
      <c r="H53">
        <f t="shared" si="11"/>
        <v>0</v>
      </c>
      <c r="M53">
        <f t="shared" si="12"/>
        <v>0</v>
      </c>
      <c r="O53">
        <f t="shared" si="13"/>
        <v>0</v>
      </c>
    </row>
    <row r="54" spans="5:15" x14ac:dyDescent="0.35">
      <c r="E54" t="e">
        <f t="shared" si="10"/>
        <v>#DIV/0!</v>
      </c>
      <c r="H54">
        <f t="shared" si="11"/>
        <v>0</v>
      </c>
      <c r="M54">
        <f t="shared" si="12"/>
        <v>0</v>
      </c>
      <c r="O54">
        <f t="shared" si="13"/>
        <v>0</v>
      </c>
    </row>
    <row r="55" spans="5:15" x14ac:dyDescent="0.35">
      <c r="E55" t="e">
        <f t="shared" si="10"/>
        <v>#DIV/0!</v>
      </c>
      <c r="H55">
        <f t="shared" si="11"/>
        <v>0</v>
      </c>
      <c r="M55">
        <f t="shared" si="12"/>
        <v>0</v>
      </c>
      <c r="O55">
        <f t="shared" si="13"/>
        <v>0</v>
      </c>
    </row>
    <row r="56" spans="5:15" x14ac:dyDescent="0.35">
      <c r="E56" t="e">
        <f t="shared" si="10"/>
        <v>#DIV/0!</v>
      </c>
      <c r="H56">
        <f t="shared" si="11"/>
        <v>0</v>
      </c>
      <c r="M56">
        <f t="shared" si="12"/>
        <v>0</v>
      </c>
      <c r="O56">
        <f t="shared" si="13"/>
        <v>0</v>
      </c>
    </row>
    <row r="57" spans="5:15" x14ac:dyDescent="0.35">
      <c r="E57" t="e">
        <f t="shared" si="10"/>
        <v>#DIV/0!</v>
      </c>
      <c r="H57">
        <f t="shared" si="11"/>
        <v>0</v>
      </c>
      <c r="M57">
        <f t="shared" si="12"/>
        <v>0</v>
      </c>
      <c r="O57">
        <f t="shared" si="13"/>
        <v>0</v>
      </c>
    </row>
    <row r="58" spans="5:15" x14ac:dyDescent="0.35">
      <c r="E58" t="e">
        <f t="shared" si="10"/>
        <v>#DIV/0!</v>
      </c>
      <c r="H58">
        <f t="shared" si="11"/>
        <v>0</v>
      </c>
      <c r="M58">
        <f t="shared" si="12"/>
        <v>0</v>
      </c>
      <c r="O58">
        <f t="shared" si="13"/>
        <v>0</v>
      </c>
    </row>
    <row r="59" spans="5:15" x14ac:dyDescent="0.35">
      <c r="E59" t="e">
        <f t="shared" si="10"/>
        <v>#DIV/0!</v>
      </c>
      <c r="H59">
        <f t="shared" si="11"/>
        <v>0</v>
      </c>
      <c r="M59">
        <f t="shared" si="12"/>
        <v>0</v>
      </c>
      <c r="O59">
        <f t="shared" si="13"/>
        <v>0</v>
      </c>
    </row>
    <row r="60" spans="5:15" x14ac:dyDescent="0.35">
      <c r="E60" t="e">
        <f t="shared" si="10"/>
        <v>#DIV/0!</v>
      </c>
      <c r="H60">
        <f t="shared" si="11"/>
        <v>0</v>
      </c>
      <c r="M60">
        <f t="shared" si="12"/>
        <v>0</v>
      </c>
      <c r="O60">
        <f t="shared" si="13"/>
        <v>0</v>
      </c>
    </row>
    <row r="61" spans="5:15" x14ac:dyDescent="0.35">
      <c r="E61" t="e">
        <f t="shared" si="10"/>
        <v>#DIV/0!</v>
      </c>
      <c r="H61">
        <f t="shared" si="11"/>
        <v>0</v>
      </c>
      <c r="M61">
        <f t="shared" si="12"/>
        <v>0</v>
      </c>
      <c r="O61">
        <f t="shared" si="13"/>
        <v>0</v>
      </c>
    </row>
    <row r="62" spans="5:15" x14ac:dyDescent="0.35">
      <c r="E62" t="e">
        <f t="shared" si="10"/>
        <v>#DIV/0!</v>
      </c>
      <c r="H62">
        <f t="shared" si="11"/>
        <v>0</v>
      </c>
      <c r="M62">
        <f t="shared" si="12"/>
        <v>0</v>
      </c>
      <c r="O62">
        <f t="shared" si="13"/>
        <v>0</v>
      </c>
    </row>
    <row r="63" spans="5:15" x14ac:dyDescent="0.35">
      <c r="E63" t="e">
        <f t="shared" si="10"/>
        <v>#DIV/0!</v>
      </c>
      <c r="H63">
        <f t="shared" si="11"/>
        <v>0</v>
      </c>
      <c r="M63">
        <f t="shared" si="12"/>
        <v>0</v>
      </c>
      <c r="O63">
        <f t="shared" si="13"/>
        <v>0</v>
      </c>
    </row>
    <row r="64" spans="5:15" x14ac:dyDescent="0.35">
      <c r="E64" t="e">
        <f t="shared" si="10"/>
        <v>#DIV/0!</v>
      </c>
      <c r="H64">
        <f t="shared" si="11"/>
        <v>0</v>
      </c>
      <c r="M64">
        <f t="shared" si="12"/>
        <v>0</v>
      </c>
      <c r="O64">
        <f t="shared" si="13"/>
        <v>0</v>
      </c>
    </row>
    <row r="65" spans="5:15" x14ac:dyDescent="0.35">
      <c r="E65" t="e">
        <f t="shared" si="10"/>
        <v>#DIV/0!</v>
      </c>
      <c r="H65">
        <f t="shared" si="11"/>
        <v>0</v>
      </c>
      <c r="M65">
        <f t="shared" si="12"/>
        <v>0</v>
      </c>
      <c r="O65">
        <f t="shared" si="13"/>
        <v>0</v>
      </c>
    </row>
    <row r="66" spans="5:15" x14ac:dyDescent="0.35">
      <c r="E66" t="e">
        <f t="shared" si="10"/>
        <v>#DIV/0!</v>
      </c>
      <c r="H66">
        <f t="shared" si="11"/>
        <v>0</v>
      </c>
      <c r="M66">
        <f t="shared" si="12"/>
        <v>0</v>
      </c>
      <c r="O66">
        <f t="shared" si="13"/>
        <v>0</v>
      </c>
    </row>
  </sheetData>
  <sortState xmlns:xlrd2="http://schemas.microsoft.com/office/spreadsheetml/2017/richdata2" ref="A3:O64">
    <sortCondition ref="A4:A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7U</vt:lpstr>
      <vt:lpstr>8U</vt:lpstr>
      <vt:lpstr>9U</vt:lpstr>
      <vt:lpstr>10U</vt:lpstr>
      <vt:lpstr>11U</vt:lpstr>
      <vt:lpstr>12U</vt:lpstr>
      <vt:lpstr>13U</vt:lpstr>
      <vt:lpstr>14U</vt:lpstr>
      <vt:lpstr>15U</vt:lpstr>
      <vt:lpstr>16U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Horne</dc:creator>
  <cp:lastModifiedBy>Black, Jordan</cp:lastModifiedBy>
  <dcterms:created xsi:type="dcterms:W3CDTF">2022-03-03T19:52:13Z</dcterms:created>
  <dcterms:modified xsi:type="dcterms:W3CDTF">2022-11-24T04:03:41Z</dcterms:modified>
</cp:coreProperties>
</file>