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07fa29de5f7f1c89/Documents/"/>
    </mc:Choice>
  </mc:AlternateContent>
  <xr:revisionPtr revIDLastSave="14" documentId="13_ncr:1_{179B01DB-CB1E-415B-A810-7D19FB420A7E}" xr6:coauthVersionLast="47" xr6:coauthVersionMax="47" xr10:uidLastSave="{BF4B6AC0-84EB-472D-A30A-BA95BA5E37B2}"/>
  <bookViews>
    <workbookView xWindow="-120" yWindow="-120" windowWidth="29040" windowHeight="15720" activeTab="1" xr2:uid="{00000000-000D-0000-FFFF-FFFF00000000}"/>
  </bookViews>
  <sheets>
    <sheet name="8U" sheetId="2" r:id="rId1"/>
    <sheet name="10U" sheetId="4" r:id="rId2"/>
    <sheet name="12U" sheetId="6" r:id="rId3"/>
    <sheet name="14U" sheetId="8" r:id="rId4"/>
    <sheet name="16-18U" sheetId="10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42" i="4" l="1"/>
  <c r="J42" i="4"/>
  <c r="G42" i="4"/>
  <c r="F42" i="4"/>
  <c r="C42" i="4"/>
  <c r="B42" i="4"/>
  <c r="N28" i="4"/>
  <c r="K28" i="4"/>
  <c r="G28" i="4"/>
  <c r="F28" i="4"/>
  <c r="C28" i="4"/>
  <c r="B28" i="4"/>
  <c r="G42" i="8"/>
  <c r="F42" i="8"/>
  <c r="C42" i="8"/>
  <c r="G33" i="8"/>
  <c r="F33" i="8"/>
  <c r="B33" i="8"/>
  <c r="G37" i="8"/>
  <c r="F37" i="8"/>
  <c r="C37" i="8"/>
  <c r="G67" i="8"/>
  <c r="F67" i="8"/>
  <c r="B67" i="8"/>
  <c r="B42" i="8"/>
  <c r="G34" i="8"/>
  <c r="F34" i="8"/>
  <c r="C34" i="8"/>
  <c r="E34" i="8" s="1"/>
  <c r="G10" i="8"/>
  <c r="F10" i="8"/>
  <c r="C10" i="8"/>
  <c r="B37" i="8"/>
  <c r="C33" i="8"/>
  <c r="G41" i="8"/>
  <c r="F41" i="8"/>
  <c r="B41" i="8"/>
  <c r="G24" i="8"/>
  <c r="F24" i="8"/>
  <c r="C24" i="8"/>
  <c r="G40" i="8"/>
  <c r="F40" i="8"/>
  <c r="C40" i="8"/>
  <c r="G73" i="8"/>
  <c r="F73" i="8"/>
  <c r="B73" i="8"/>
  <c r="G63" i="8"/>
  <c r="F63" i="8"/>
  <c r="C63" i="8"/>
  <c r="B40" i="8"/>
  <c r="D35" i="8"/>
  <c r="C41" i="8"/>
  <c r="B24" i="8"/>
  <c r="L24" i="8" s="1"/>
  <c r="B34" i="8"/>
  <c r="B10" i="8"/>
  <c r="C73" i="8"/>
  <c r="D42" i="8"/>
  <c r="D67" i="8"/>
  <c r="G14" i="6"/>
  <c r="F14" i="6"/>
  <c r="B14" i="6"/>
  <c r="G21" i="6"/>
  <c r="F21" i="6"/>
  <c r="C21" i="6"/>
  <c r="G31" i="6"/>
  <c r="F31" i="6"/>
  <c r="B31" i="6"/>
  <c r="G6" i="6"/>
  <c r="F6" i="6"/>
  <c r="C6" i="6"/>
  <c r="G15" i="6"/>
  <c r="F15" i="6"/>
  <c r="C15" i="6"/>
  <c r="G33" i="6"/>
  <c r="F33" i="6"/>
  <c r="C33" i="6"/>
  <c r="B21" i="6"/>
  <c r="C14" i="6"/>
  <c r="B6" i="6"/>
  <c r="B33" i="6"/>
  <c r="G70" i="6"/>
  <c r="F70" i="6"/>
  <c r="B70" i="6"/>
  <c r="G52" i="6"/>
  <c r="F52" i="6"/>
  <c r="C52" i="6"/>
  <c r="G13" i="6"/>
  <c r="F13" i="6"/>
  <c r="C13" i="6"/>
  <c r="G50" i="6"/>
  <c r="F50" i="6"/>
  <c r="B50" i="6"/>
  <c r="G41" i="6"/>
  <c r="F41" i="6"/>
  <c r="C41" i="6"/>
  <c r="B52" i="6"/>
  <c r="G9" i="6"/>
  <c r="F9" i="6"/>
  <c r="C9" i="6"/>
  <c r="B13" i="6"/>
  <c r="C70" i="6"/>
  <c r="L52" i="6"/>
  <c r="C50" i="6"/>
  <c r="B15" i="6"/>
  <c r="C31" i="6"/>
  <c r="G32" i="4"/>
  <c r="F32" i="4"/>
  <c r="B32" i="4"/>
  <c r="L32" i="4" s="1"/>
  <c r="G19" i="4"/>
  <c r="F19" i="4"/>
  <c r="C19" i="4"/>
  <c r="G27" i="4"/>
  <c r="F27" i="4"/>
  <c r="B27" i="4"/>
  <c r="G30" i="4"/>
  <c r="F30" i="4"/>
  <c r="C30" i="4"/>
  <c r="G29" i="4"/>
  <c r="F29" i="4"/>
  <c r="C29" i="4"/>
  <c r="B19" i="4"/>
  <c r="C32" i="4"/>
  <c r="G21" i="4"/>
  <c r="F21" i="4"/>
  <c r="C21" i="4"/>
  <c r="G48" i="4"/>
  <c r="F48" i="4"/>
  <c r="B48" i="4"/>
  <c r="B21" i="4"/>
  <c r="G4" i="4"/>
  <c r="F4" i="4"/>
  <c r="C4" i="4"/>
  <c r="E4" i="4" s="1"/>
  <c r="C48" i="4"/>
  <c r="G7" i="4"/>
  <c r="F7" i="4"/>
  <c r="H7" i="4" s="1"/>
  <c r="C7" i="4"/>
  <c r="B4" i="4"/>
  <c r="G13" i="4"/>
  <c r="F13" i="4"/>
  <c r="B13" i="4"/>
  <c r="G15" i="4"/>
  <c r="F15" i="4"/>
  <c r="C15" i="4"/>
  <c r="G6" i="4"/>
  <c r="F6" i="4"/>
  <c r="C6" i="4"/>
  <c r="E6" i="4" s="1"/>
  <c r="G34" i="4"/>
  <c r="H34" i="4" s="1"/>
  <c r="F34" i="4"/>
  <c r="B34" i="4"/>
  <c r="L34" i="4" s="1"/>
  <c r="G31" i="4"/>
  <c r="H31" i="4" s="1"/>
  <c r="F31" i="4"/>
  <c r="C31" i="4"/>
  <c r="E31" i="4" s="1"/>
  <c r="B6" i="4"/>
  <c r="C13" i="4"/>
  <c r="C27" i="4"/>
  <c r="B30" i="4"/>
  <c r="D27" i="4"/>
  <c r="D19" i="4"/>
  <c r="D30" i="4"/>
  <c r="C34" i="4"/>
  <c r="L48" i="4"/>
  <c r="B7" i="4"/>
  <c r="B15" i="4"/>
  <c r="D28" i="4"/>
  <c r="D15" i="4"/>
  <c r="G14" i="2"/>
  <c r="F14" i="2"/>
  <c r="C14" i="2"/>
  <c r="G7" i="2"/>
  <c r="F7" i="2"/>
  <c r="B7" i="2"/>
  <c r="L7" i="2" s="1"/>
  <c r="B14" i="2"/>
  <c r="G9" i="2"/>
  <c r="F9" i="2"/>
  <c r="C9" i="2"/>
  <c r="G12" i="2"/>
  <c r="F12" i="2"/>
  <c r="C12" i="2"/>
  <c r="E9" i="2"/>
  <c r="G31" i="2"/>
  <c r="F31" i="2"/>
  <c r="C31" i="2"/>
  <c r="G29" i="2"/>
  <c r="F29" i="2"/>
  <c r="C29" i="2"/>
  <c r="B12" i="2"/>
  <c r="G10" i="2"/>
  <c r="F10" i="2"/>
  <c r="B10" i="2"/>
  <c r="E12" i="2"/>
  <c r="B9" i="2"/>
  <c r="E31" i="2"/>
  <c r="G18" i="2"/>
  <c r="F18" i="2"/>
  <c r="C18" i="2"/>
  <c r="E18" i="2" s="1"/>
  <c r="G22" i="2"/>
  <c r="F22" i="2"/>
  <c r="B22" i="2"/>
  <c r="L22" i="2" s="1"/>
  <c r="O22" i="2" s="1"/>
  <c r="B18" i="2"/>
  <c r="G27" i="2"/>
  <c r="F27" i="2"/>
  <c r="C27" i="2"/>
  <c r="G15" i="2"/>
  <c r="F15" i="2"/>
  <c r="C15" i="2"/>
  <c r="G4" i="2"/>
  <c r="F4" i="2"/>
  <c r="C4" i="2"/>
  <c r="G20" i="2"/>
  <c r="F20" i="2"/>
  <c r="C20" i="2"/>
  <c r="B15" i="2"/>
  <c r="B27" i="2"/>
  <c r="L27" i="2" s="1"/>
  <c r="B29" i="2"/>
  <c r="B20" i="2"/>
  <c r="C7" i="2"/>
  <c r="B4" i="2"/>
  <c r="L4" i="2" s="1"/>
  <c r="O4" i="2" s="1"/>
  <c r="N37" i="8"/>
  <c r="J37" i="8"/>
  <c r="N63" i="8"/>
  <c r="N24" i="8"/>
  <c r="N34" i="8"/>
  <c r="L34" i="8"/>
  <c r="H34" i="8"/>
  <c r="M34" i="8"/>
  <c r="N38" i="8"/>
  <c r="N10" i="8"/>
  <c r="N41" i="8"/>
  <c r="K41" i="8"/>
  <c r="N33" i="8"/>
  <c r="K33" i="8"/>
  <c r="N42" i="8"/>
  <c r="N67" i="8"/>
  <c r="I67" i="8"/>
  <c r="N40" i="8"/>
  <c r="J40" i="8"/>
  <c r="N73" i="8"/>
  <c r="I73" i="8"/>
  <c r="N50" i="6"/>
  <c r="I50" i="6"/>
  <c r="N33" i="6"/>
  <c r="N41" i="6"/>
  <c r="N13" i="6"/>
  <c r="J13" i="6"/>
  <c r="N14" i="6"/>
  <c r="K14" i="6"/>
  <c r="N6" i="6"/>
  <c r="M6" i="6"/>
  <c r="J6" i="6"/>
  <c r="N70" i="6"/>
  <c r="K70" i="6"/>
  <c r="N15" i="6"/>
  <c r="N9" i="6"/>
  <c r="N52" i="6"/>
  <c r="N21" i="6"/>
  <c r="N31" i="6"/>
  <c r="I31" i="6"/>
  <c r="N30" i="4"/>
  <c r="N19" i="4"/>
  <c r="K19" i="4"/>
  <c r="N27" i="4"/>
  <c r="I27" i="4"/>
  <c r="N29" i="4"/>
  <c r="N32" i="4"/>
  <c r="I32" i="4"/>
  <c r="N4" i="4"/>
  <c r="M4" i="4"/>
  <c r="L4" i="4"/>
  <c r="N31" i="4"/>
  <c r="M31" i="4"/>
  <c r="L31" i="4"/>
  <c r="I34" i="4"/>
  <c r="N34" i="4"/>
  <c r="M34" i="4"/>
  <c r="N48" i="4"/>
  <c r="J48" i="4"/>
  <c r="N21" i="4"/>
  <c r="K21" i="4"/>
  <c r="N7" i="4"/>
  <c r="M7" i="4"/>
  <c r="L7" i="4"/>
  <c r="E7" i="4"/>
  <c r="J6" i="4"/>
  <c r="N6" i="4"/>
  <c r="M6" i="4"/>
  <c r="L6" i="4"/>
  <c r="N13" i="4"/>
  <c r="J13" i="4"/>
  <c r="I28" i="4"/>
  <c r="N15" i="4"/>
  <c r="N4" i="2"/>
  <c r="N29" i="2"/>
  <c r="M29" i="2"/>
  <c r="L29" i="2"/>
  <c r="O29" i="2" s="1"/>
  <c r="E29" i="2"/>
  <c r="N20" i="2"/>
  <c r="N31" i="2"/>
  <c r="M31" i="2"/>
  <c r="L31" i="2"/>
  <c r="N9" i="2"/>
  <c r="K9" i="2"/>
  <c r="I22" i="2"/>
  <c r="N22" i="2"/>
  <c r="M22" i="2"/>
  <c r="E22" i="2"/>
  <c r="K27" i="2"/>
  <c r="N27" i="2"/>
  <c r="M27" i="2"/>
  <c r="E27" i="2"/>
  <c r="I7" i="2"/>
  <c r="N7" i="2"/>
  <c r="M7" i="2"/>
  <c r="N12" i="2"/>
  <c r="M12" i="2"/>
  <c r="L12" i="2"/>
  <c r="N15" i="2"/>
  <c r="N18" i="2"/>
  <c r="J18" i="2"/>
  <c r="N14" i="2"/>
  <c r="J14" i="2"/>
  <c r="G68" i="8"/>
  <c r="F68" i="8"/>
  <c r="B68" i="8"/>
  <c r="L68" i="8" s="1"/>
  <c r="G20" i="8"/>
  <c r="F20" i="8"/>
  <c r="C20" i="8"/>
  <c r="G25" i="8"/>
  <c r="F25" i="8"/>
  <c r="C25" i="8"/>
  <c r="B20" i="8"/>
  <c r="G29" i="8"/>
  <c r="F29" i="8"/>
  <c r="C29" i="8"/>
  <c r="B25" i="8"/>
  <c r="G35" i="8"/>
  <c r="F35" i="8"/>
  <c r="B35" i="8"/>
  <c r="G66" i="8"/>
  <c r="F66" i="8"/>
  <c r="C66" i="8"/>
  <c r="E66" i="8" s="1"/>
  <c r="G52" i="8"/>
  <c r="F52" i="8"/>
  <c r="C52" i="8"/>
  <c r="B66" i="8"/>
  <c r="G18" i="8"/>
  <c r="F18" i="8"/>
  <c r="C18" i="8"/>
  <c r="B52" i="8"/>
  <c r="L52" i="8" s="1"/>
  <c r="G60" i="8"/>
  <c r="F60" i="8"/>
  <c r="C60" i="8"/>
  <c r="B18" i="8"/>
  <c r="D33" i="8"/>
  <c r="D60" i="8"/>
  <c r="D18" i="8"/>
  <c r="C35" i="8"/>
  <c r="G3" i="6"/>
  <c r="F3" i="6"/>
  <c r="C3" i="6"/>
  <c r="G24" i="6"/>
  <c r="F24" i="6"/>
  <c r="B24" i="6"/>
  <c r="E24" i="6" s="1"/>
  <c r="B3" i="6"/>
  <c r="G59" i="6"/>
  <c r="F59" i="6"/>
  <c r="C59" i="6"/>
  <c r="G17" i="6"/>
  <c r="F17" i="6"/>
  <c r="C17" i="6"/>
  <c r="G56" i="6"/>
  <c r="F56" i="6"/>
  <c r="B56" i="6"/>
  <c r="B17" i="6"/>
  <c r="C56" i="6"/>
  <c r="G55" i="6"/>
  <c r="F55" i="6"/>
  <c r="C55" i="6"/>
  <c r="E55" i="6" s="1"/>
  <c r="B55" i="6"/>
  <c r="G22" i="6"/>
  <c r="F22" i="6"/>
  <c r="C22" i="6"/>
  <c r="G12" i="6"/>
  <c r="F12" i="6"/>
  <c r="C12" i="6"/>
  <c r="B22" i="6"/>
  <c r="H55" i="6"/>
  <c r="B12" i="6"/>
  <c r="L12" i="6" s="1"/>
  <c r="D33" i="6"/>
  <c r="H22" i="6"/>
  <c r="D22" i="6"/>
  <c r="G5" i="4"/>
  <c r="F5" i="4"/>
  <c r="B5" i="4"/>
  <c r="L5" i="4" s="1"/>
  <c r="G44" i="4"/>
  <c r="F44" i="4"/>
  <c r="C44" i="4"/>
  <c r="G10" i="4"/>
  <c r="F10" i="4"/>
  <c r="C10" i="4"/>
  <c r="G26" i="4"/>
  <c r="F26" i="4"/>
  <c r="C26" i="4"/>
  <c r="G25" i="4"/>
  <c r="F25" i="4"/>
  <c r="C25" i="4"/>
  <c r="E25" i="4" s="1"/>
  <c r="B10" i="4"/>
  <c r="L10" i="4" s="1"/>
  <c r="B44" i="4"/>
  <c r="B26" i="4"/>
  <c r="L26" i="4" s="1"/>
  <c r="G28" i="2"/>
  <c r="F28" i="2"/>
  <c r="C28" i="2"/>
  <c r="G34" i="2"/>
  <c r="F34" i="2"/>
  <c r="C34" i="2"/>
  <c r="B28" i="2"/>
  <c r="L28" i="2" s="1"/>
  <c r="G32" i="2"/>
  <c r="F32" i="2"/>
  <c r="C32" i="2"/>
  <c r="B34" i="2"/>
  <c r="L34" i="2" s="1"/>
  <c r="G36" i="2"/>
  <c r="H36" i="2" s="1"/>
  <c r="F36" i="2"/>
  <c r="C36" i="2"/>
  <c r="G5" i="2"/>
  <c r="F5" i="2"/>
  <c r="B5" i="2"/>
  <c r="L5" i="2" s="1"/>
  <c r="G33" i="2"/>
  <c r="F33" i="2"/>
  <c r="C33" i="2"/>
  <c r="G16" i="2"/>
  <c r="F16" i="2"/>
  <c r="C16" i="2"/>
  <c r="B33" i="2"/>
  <c r="G6" i="2"/>
  <c r="F6" i="2"/>
  <c r="C6" i="2"/>
  <c r="G26" i="2"/>
  <c r="F26" i="2"/>
  <c r="C26" i="2"/>
  <c r="E26" i="2" s="1"/>
  <c r="B16" i="2"/>
  <c r="B36" i="2"/>
  <c r="L36" i="2" s="1"/>
  <c r="B32" i="2"/>
  <c r="L32" i="2" s="1"/>
  <c r="C5" i="2"/>
  <c r="B6" i="2"/>
  <c r="E6" i="2" s="1"/>
  <c r="G48" i="8"/>
  <c r="F48" i="8"/>
  <c r="B48" i="8"/>
  <c r="G49" i="8"/>
  <c r="F49" i="8"/>
  <c r="C49" i="8"/>
  <c r="G19" i="8"/>
  <c r="F19" i="8"/>
  <c r="C19" i="8"/>
  <c r="B49" i="8"/>
  <c r="G39" i="8"/>
  <c r="F39" i="8"/>
  <c r="C39" i="8"/>
  <c r="G43" i="8"/>
  <c r="F43" i="8"/>
  <c r="C43" i="8"/>
  <c r="B19" i="8"/>
  <c r="B39" i="8"/>
  <c r="E43" i="8"/>
  <c r="B43" i="8"/>
  <c r="N39" i="8"/>
  <c r="K39" i="8"/>
  <c r="N49" i="8"/>
  <c r="J49" i="8"/>
  <c r="N48" i="8"/>
  <c r="I48" i="8"/>
  <c r="N19" i="8"/>
  <c r="M19" i="8"/>
  <c r="L19" i="8"/>
  <c r="E19" i="8"/>
  <c r="N43" i="8"/>
  <c r="M43" i="8"/>
  <c r="L43" i="8"/>
  <c r="I68" i="8"/>
  <c r="N68" i="8"/>
  <c r="M68" i="8"/>
  <c r="N25" i="8"/>
  <c r="N29" i="8"/>
  <c r="N20" i="8"/>
  <c r="J20" i="8"/>
  <c r="K40" i="8"/>
  <c r="N60" i="8"/>
  <c r="K52" i="8"/>
  <c r="N52" i="8"/>
  <c r="M52" i="8"/>
  <c r="E52" i="8"/>
  <c r="J66" i="8"/>
  <c r="N66" i="8"/>
  <c r="M66" i="8"/>
  <c r="L66" i="8"/>
  <c r="N18" i="8"/>
  <c r="N35" i="8"/>
  <c r="I35" i="8"/>
  <c r="N3" i="6"/>
  <c r="J3" i="6"/>
  <c r="I24" i="6"/>
  <c r="N24" i="6"/>
  <c r="M24" i="6"/>
  <c r="L24" i="6"/>
  <c r="N17" i="6"/>
  <c r="K17" i="6"/>
  <c r="N59" i="6"/>
  <c r="J59" i="6"/>
  <c r="I15" i="6"/>
  <c r="N56" i="6"/>
  <c r="N12" i="6"/>
  <c r="M12" i="6"/>
  <c r="I13" i="6"/>
  <c r="J55" i="6"/>
  <c r="N55" i="6"/>
  <c r="M55" i="6"/>
  <c r="L55" i="6"/>
  <c r="O55" i="6" s="1"/>
  <c r="K22" i="6"/>
  <c r="N22" i="6"/>
  <c r="M22" i="6"/>
  <c r="L22" i="6"/>
  <c r="E22" i="6"/>
  <c r="N25" i="4"/>
  <c r="M25" i="4"/>
  <c r="L25" i="4"/>
  <c r="K26" i="4"/>
  <c r="N26" i="4"/>
  <c r="M26" i="4"/>
  <c r="N44" i="4"/>
  <c r="J44" i="4"/>
  <c r="I5" i="4"/>
  <c r="N5" i="4"/>
  <c r="M5" i="4"/>
  <c r="N10" i="4"/>
  <c r="J10" i="4"/>
  <c r="I4" i="2"/>
  <c r="M4" i="2"/>
  <c r="N16" i="2"/>
  <c r="N6" i="2"/>
  <c r="K6" i="2"/>
  <c r="N34" i="2"/>
  <c r="M34" i="2"/>
  <c r="N36" i="2"/>
  <c r="M36" i="2"/>
  <c r="M9" i="2"/>
  <c r="J33" i="2"/>
  <c r="N33" i="2"/>
  <c r="M33" i="2"/>
  <c r="N26" i="2"/>
  <c r="M26" i="2"/>
  <c r="L26" i="2"/>
  <c r="N32" i="2"/>
  <c r="M32" i="2"/>
  <c r="N5" i="2"/>
  <c r="I5" i="2"/>
  <c r="M5" i="2"/>
  <c r="N28" i="2"/>
  <c r="J28" i="2"/>
  <c r="G56" i="8"/>
  <c r="F56" i="8"/>
  <c r="B56" i="8"/>
  <c r="G54" i="8"/>
  <c r="F54" i="8"/>
  <c r="C54" i="8"/>
  <c r="G71" i="8"/>
  <c r="F71" i="8"/>
  <c r="C71" i="8"/>
  <c r="G61" i="8"/>
  <c r="F61" i="8"/>
  <c r="B61" i="8"/>
  <c r="E61" i="8" s="1"/>
  <c r="L73" i="8"/>
  <c r="G46" i="8"/>
  <c r="F46" i="8"/>
  <c r="C46" i="8"/>
  <c r="G50" i="8"/>
  <c r="F50" i="8"/>
  <c r="C50" i="8"/>
  <c r="B46" i="8"/>
  <c r="G11" i="8"/>
  <c r="F11" i="8"/>
  <c r="C11" i="8"/>
  <c r="B11" i="8"/>
  <c r="L11" i="8" s="1"/>
  <c r="C56" i="8"/>
  <c r="D41" i="8"/>
  <c r="M41" i="8" s="1"/>
  <c r="D54" i="8"/>
  <c r="B50" i="8"/>
  <c r="L50" i="8" s="1"/>
  <c r="B54" i="8"/>
  <c r="K20" i="8"/>
  <c r="N11" i="8"/>
  <c r="M11" i="8"/>
  <c r="N46" i="8"/>
  <c r="K46" i="8"/>
  <c r="I56" i="8"/>
  <c r="N50" i="8"/>
  <c r="M50" i="8"/>
  <c r="N54" i="8"/>
  <c r="J24" i="8"/>
  <c r="I61" i="8"/>
  <c r="N61" i="8"/>
  <c r="M61" i="8"/>
  <c r="N71" i="8"/>
  <c r="J73" i="8"/>
  <c r="G58" i="6"/>
  <c r="F58" i="6"/>
  <c r="C58" i="6"/>
  <c r="G10" i="6"/>
  <c r="F10" i="6"/>
  <c r="C10" i="6"/>
  <c r="B58" i="6"/>
  <c r="L58" i="6" s="1"/>
  <c r="G67" i="6"/>
  <c r="F67" i="6"/>
  <c r="C67" i="6"/>
  <c r="B9" i="6"/>
  <c r="G46" i="6"/>
  <c r="F46" i="6"/>
  <c r="C46" i="6"/>
  <c r="G5" i="6"/>
  <c r="F5" i="6"/>
  <c r="B5" i="6"/>
  <c r="G39" i="6"/>
  <c r="F39" i="6"/>
  <c r="C39" i="6"/>
  <c r="G27" i="6"/>
  <c r="F27" i="6"/>
  <c r="C27" i="6"/>
  <c r="B39" i="6"/>
  <c r="G4" i="6"/>
  <c r="F4" i="6"/>
  <c r="C4" i="6"/>
  <c r="G54" i="6"/>
  <c r="F54" i="6"/>
  <c r="C54" i="6"/>
  <c r="B27" i="6"/>
  <c r="B10" i="6"/>
  <c r="B67" i="6"/>
  <c r="L67" i="6" s="1"/>
  <c r="D10" i="6"/>
  <c r="D21" i="6"/>
  <c r="B4" i="6"/>
  <c r="B46" i="6"/>
  <c r="B54" i="6"/>
  <c r="L54" i="6" s="1"/>
  <c r="N46" i="6"/>
  <c r="N58" i="6"/>
  <c r="J58" i="6"/>
  <c r="N10" i="6"/>
  <c r="K10" i="6"/>
  <c r="N4" i="6"/>
  <c r="K4" i="6"/>
  <c r="N54" i="6"/>
  <c r="N5" i="6"/>
  <c r="I5" i="6"/>
  <c r="J17" i="6"/>
  <c r="N67" i="6"/>
  <c r="I21" i="6"/>
  <c r="N39" i="6"/>
  <c r="N27" i="6"/>
  <c r="G36" i="4"/>
  <c r="F36" i="4"/>
  <c r="C36" i="4"/>
  <c r="L42" i="4"/>
  <c r="B29" i="4"/>
  <c r="L29" i="4" s="1"/>
  <c r="N36" i="4"/>
  <c r="K42" i="4"/>
  <c r="J30" i="4"/>
  <c r="G38" i="8"/>
  <c r="F38" i="8"/>
  <c r="B38" i="8"/>
  <c r="L38" i="8" s="1"/>
  <c r="G5" i="8"/>
  <c r="F5" i="8"/>
  <c r="C5" i="8"/>
  <c r="B63" i="8"/>
  <c r="L63" i="8" s="1"/>
  <c r="G70" i="8"/>
  <c r="F70" i="8"/>
  <c r="B70" i="8"/>
  <c r="L70" i="8" s="1"/>
  <c r="G21" i="8"/>
  <c r="F21" i="8"/>
  <c r="C21" i="8"/>
  <c r="G47" i="8"/>
  <c r="F47" i="8"/>
  <c r="C47" i="8"/>
  <c r="B47" i="8"/>
  <c r="L47" i="8" s="1"/>
  <c r="G72" i="8"/>
  <c r="F72" i="8"/>
  <c r="C72" i="8"/>
  <c r="G44" i="8"/>
  <c r="F44" i="8"/>
  <c r="C44" i="8"/>
  <c r="B72" i="8"/>
  <c r="L72" i="8" s="1"/>
  <c r="G69" i="8"/>
  <c r="F69" i="8"/>
  <c r="C69" i="8"/>
  <c r="B69" i="8"/>
  <c r="L69" i="8" s="1"/>
  <c r="B21" i="8"/>
  <c r="B44" i="8"/>
  <c r="C38" i="8"/>
  <c r="B5" i="8"/>
  <c r="J33" i="8"/>
  <c r="I38" i="8"/>
  <c r="J63" i="8"/>
  <c r="M63" i="8"/>
  <c r="N5" i="8"/>
  <c r="K5" i="8"/>
  <c r="I46" i="8"/>
  <c r="N69" i="8"/>
  <c r="K69" i="8"/>
  <c r="N56" i="8"/>
  <c r="I70" i="8"/>
  <c r="N70" i="8"/>
  <c r="M70" i="8"/>
  <c r="N21" i="8"/>
  <c r="K21" i="8"/>
  <c r="N44" i="8"/>
  <c r="N72" i="8"/>
  <c r="J72" i="8"/>
  <c r="N47" i="8"/>
  <c r="J47" i="8"/>
  <c r="L56" i="6"/>
  <c r="G63" i="6"/>
  <c r="F63" i="6"/>
  <c r="C63" i="6"/>
  <c r="G57" i="6"/>
  <c r="F57" i="6"/>
  <c r="C57" i="6"/>
  <c r="B63" i="6"/>
  <c r="L63" i="6" s="1"/>
  <c r="B57" i="6"/>
  <c r="L57" i="6" s="1"/>
  <c r="D27" i="6"/>
  <c r="D63" i="6"/>
  <c r="M63" i="6" s="1"/>
  <c r="N57" i="6"/>
  <c r="M57" i="6"/>
  <c r="K57" i="6"/>
  <c r="J27" i="6"/>
  <c r="K63" i="6"/>
  <c r="N63" i="6"/>
  <c r="J70" i="6"/>
  <c r="G3" i="4"/>
  <c r="F3" i="4"/>
  <c r="B3" i="4"/>
  <c r="G38" i="4"/>
  <c r="F38" i="4"/>
  <c r="C38" i="4"/>
  <c r="G8" i="4"/>
  <c r="F8" i="4"/>
  <c r="C8" i="4"/>
  <c r="G40" i="4"/>
  <c r="F40" i="4"/>
  <c r="C40" i="4"/>
  <c r="L21" i="4"/>
  <c r="G20" i="4"/>
  <c r="F20" i="4"/>
  <c r="C20" i="4"/>
  <c r="H48" i="4"/>
  <c r="B20" i="4"/>
  <c r="L20" i="4" s="1"/>
  <c r="G18" i="4"/>
  <c r="F18" i="4"/>
  <c r="B18" i="4"/>
  <c r="E18" i="4" s="1"/>
  <c r="B8" i="4"/>
  <c r="C3" i="4"/>
  <c r="B40" i="4"/>
  <c r="J20" i="4"/>
  <c r="N20" i="4"/>
  <c r="M20" i="4"/>
  <c r="I18" i="4"/>
  <c r="N18" i="4"/>
  <c r="M18" i="4"/>
  <c r="J21" i="4"/>
  <c r="N38" i="4"/>
  <c r="N40" i="4"/>
  <c r="N8" i="4"/>
  <c r="K8" i="4"/>
  <c r="K48" i="4"/>
  <c r="M48" i="4"/>
  <c r="I13" i="4"/>
  <c r="N3" i="4"/>
  <c r="I3" i="4"/>
  <c r="J15" i="4"/>
  <c r="M10" i="4"/>
  <c r="G25" i="2"/>
  <c r="F25" i="2"/>
  <c r="C25" i="2"/>
  <c r="G23" i="2"/>
  <c r="F23" i="2"/>
  <c r="B23" i="2"/>
  <c r="L23" i="2" s="1"/>
  <c r="B25" i="2"/>
  <c r="L25" i="2" s="1"/>
  <c r="G19" i="2"/>
  <c r="F19" i="2"/>
  <c r="C19" i="2"/>
  <c r="B19" i="2"/>
  <c r="L19" i="2" s="1"/>
  <c r="C10" i="2"/>
  <c r="L14" i="2"/>
  <c r="G21" i="2"/>
  <c r="F21" i="2"/>
  <c r="C21" i="2"/>
  <c r="L10" i="2"/>
  <c r="C23" i="2"/>
  <c r="N21" i="2"/>
  <c r="M28" i="2"/>
  <c r="K28" i="2"/>
  <c r="N19" i="2"/>
  <c r="N10" i="2"/>
  <c r="M10" i="2"/>
  <c r="K19" i="2"/>
  <c r="M19" i="2"/>
  <c r="N25" i="2"/>
  <c r="J25" i="2"/>
  <c r="I18" i="2"/>
  <c r="N23" i="2"/>
  <c r="I23" i="2"/>
  <c r="C67" i="8"/>
  <c r="G13" i="8"/>
  <c r="F13" i="8"/>
  <c r="B13" i="8"/>
  <c r="L67" i="8"/>
  <c r="K73" i="8"/>
  <c r="N13" i="8"/>
  <c r="I13" i="8"/>
  <c r="J67" i="8"/>
  <c r="M67" i="8"/>
  <c r="G65" i="6"/>
  <c r="F65" i="6"/>
  <c r="C65" i="6"/>
  <c r="G37" i="6"/>
  <c r="F37" i="6"/>
  <c r="B37" i="6"/>
  <c r="B65" i="6"/>
  <c r="L65" i="6" s="1"/>
  <c r="G8" i="6"/>
  <c r="F8" i="6"/>
  <c r="C8" i="6"/>
  <c r="B8" i="6"/>
  <c r="N8" i="6"/>
  <c r="K8" i="6"/>
  <c r="J65" i="6"/>
  <c r="N65" i="6"/>
  <c r="M65" i="6"/>
  <c r="N37" i="6"/>
  <c r="I37" i="6"/>
  <c r="G64" i="8"/>
  <c r="F64" i="8"/>
  <c r="C64" i="8"/>
  <c r="G12" i="8"/>
  <c r="F12" i="8"/>
  <c r="B12" i="8"/>
  <c r="E12" i="8" s="1"/>
  <c r="D40" i="8"/>
  <c r="D25" i="8"/>
  <c r="D64" i="8"/>
  <c r="D20" i="8"/>
  <c r="I72" i="8"/>
  <c r="J41" i="8"/>
  <c r="J25" i="8"/>
  <c r="N12" i="8"/>
  <c r="I12" i="8"/>
  <c r="N64" i="8"/>
  <c r="K64" i="8"/>
  <c r="G54" i="4"/>
  <c r="F54" i="4"/>
  <c r="C54" i="4"/>
  <c r="B54" i="4"/>
  <c r="G41" i="4"/>
  <c r="F41" i="4"/>
  <c r="C41" i="4"/>
  <c r="B41" i="4"/>
  <c r="I44" i="4"/>
  <c r="I40" i="4"/>
  <c r="N41" i="4"/>
  <c r="M41" i="4"/>
  <c r="N54" i="4"/>
  <c r="J54" i="4"/>
  <c r="G24" i="2"/>
  <c r="F24" i="2"/>
  <c r="C24" i="2"/>
  <c r="G11" i="2"/>
  <c r="F11" i="2"/>
  <c r="C11" i="2"/>
  <c r="B24" i="2"/>
  <c r="L24" i="2" s="1"/>
  <c r="L20" i="2"/>
  <c r="L15" i="2"/>
  <c r="D15" i="2"/>
  <c r="M15" i="2" s="1"/>
  <c r="D11" i="2"/>
  <c r="M11" i="2" s="1"/>
  <c r="I14" i="2"/>
  <c r="J24" i="2"/>
  <c r="N24" i="2"/>
  <c r="M24" i="2"/>
  <c r="K11" i="2"/>
  <c r="N11" i="2"/>
  <c r="L11" i="2"/>
  <c r="J15" i="2"/>
  <c r="I20" i="2"/>
  <c r="M20" i="2"/>
  <c r="G42" i="6"/>
  <c r="F42" i="6"/>
  <c r="C42" i="6"/>
  <c r="B59" i="6"/>
  <c r="L59" i="6" s="1"/>
  <c r="G64" i="6"/>
  <c r="F64" i="6"/>
  <c r="C64" i="6"/>
  <c r="B64" i="6"/>
  <c r="L64" i="6" s="1"/>
  <c r="B42" i="6"/>
  <c r="G62" i="6"/>
  <c r="F62" i="6"/>
  <c r="C62" i="6"/>
  <c r="G61" i="6"/>
  <c r="F61" i="6"/>
  <c r="C61" i="6"/>
  <c r="B62" i="6"/>
  <c r="L62" i="6" s="1"/>
  <c r="G32" i="6"/>
  <c r="F32" i="6"/>
  <c r="C32" i="6"/>
  <c r="D62" i="6"/>
  <c r="M62" i="6" s="1"/>
  <c r="D61" i="6"/>
  <c r="M61" i="6" s="1"/>
  <c r="B32" i="6"/>
  <c r="K64" i="6"/>
  <c r="N64" i="6"/>
  <c r="M64" i="6"/>
  <c r="K42" i="6"/>
  <c r="I59" i="6"/>
  <c r="I67" i="6"/>
  <c r="M67" i="6"/>
  <c r="N32" i="6"/>
  <c r="I6" i="6"/>
  <c r="J4" i="6"/>
  <c r="N62" i="6"/>
  <c r="J62" i="6"/>
  <c r="I27" i="6"/>
  <c r="K50" i="6"/>
  <c r="N61" i="6"/>
  <c r="K61" i="6"/>
  <c r="G19" i="6"/>
  <c r="F19" i="6"/>
  <c r="B19" i="6"/>
  <c r="G47" i="6"/>
  <c r="F47" i="6"/>
  <c r="C47" i="6"/>
  <c r="G7" i="6"/>
  <c r="F7" i="6"/>
  <c r="B7" i="6"/>
  <c r="L7" i="6" s="1"/>
  <c r="G44" i="6"/>
  <c r="F44" i="6"/>
  <c r="B44" i="6"/>
  <c r="L44" i="6" s="1"/>
  <c r="D7" i="6"/>
  <c r="M7" i="6" s="1"/>
  <c r="D47" i="6"/>
  <c r="M47" i="6" s="1"/>
  <c r="D39" i="6"/>
  <c r="D5" i="6"/>
  <c r="C7" i="6"/>
  <c r="C5" i="6"/>
  <c r="N19" i="6"/>
  <c r="K19" i="6"/>
  <c r="K21" i="6"/>
  <c r="I46" i="6"/>
  <c r="M58" i="6"/>
  <c r="N42" i="6"/>
  <c r="I14" i="6"/>
  <c r="N7" i="6"/>
  <c r="K7" i="6"/>
  <c r="I44" i="6"/>
  <c r="N44" i="6"/>
  <c r="M44" i="6"/>
  <c r="N47" i="6"/>
  <c r="L47" i="6"/>
  <c r="J39" i="6"/>
  <c r="G59" i="8"/>
  <c r="F59" i="8"/>
  <c r="C59" i="8"/>
  <c r="G45" i="8"/>
  <c r="F45" i="8"/>
  <c r="C45" i="8"/>
  <c r="L10" i="8"/>
  <c r="G53" i="8"/>
  <c r="F53" i="8"/>
  <c r="D53" i="8"/>
  <c r="B59" i="8"/>
  <c r="L59" i="8" s="1"/>
  <c r="B53" i="8"/>
  <c r="C53" i="8"/>
  <c r="K24" i="8"/>
  <c r="M12" i="8"/>
  <c r="J10" i="8"/>
  <c r="M10" i="8"/>
  <c r="K59" i="8"/>
  <c r="N59" i="8"/>
  <c r="M59" i="8"/>
  <c r="N53" i="8"/>
  <c r="G46" i="4"/>
  <c r="F46" i="4"/>
  <c r="C46" i="4"/>
  <c r="B46" i="4"/>
  <c r="N46" i="4"/>
  <c r="K46" i="4"/>
  <c r="M21" i="4"/>
  <c r="I42" i="4"/>
  <c r="J28" i="4"/>
  <c r="G16" i="8"/>
  <c r="F16" i="8"/>
  <c r="B16" i="8"/>
  <c r="L16" i="8" s="1"/>
  <c r="G31" i="8"/>
  <c r="F31" i="8"/>
  <c r="C31" i="8"/>
  <c r="L49" i="8"/>
  <c r="B31" i="8"/>
  <c r="G75" i="8"/>
  <c r="F75" i="8"/>
  <c r="C75" i="8"/>
  <c r="B75" i="8"/>
  <c r="L75" i="8" s="1"/>
  <c r="K75" i="8"/>
  <c r="N75" i="8"/>
  <c r="M75" i="8"/>
  <c r="I16" i="8"/>
  <c r="N16" i="8"/>
  <c r="M16" i="8"/>
  <c r="N31" i="8"/>
  <c r="J31" i="8"/>
  <c r="G68" i="6"/>
  <c r="F68" i="6"/>
  <c r="B68" i="6"/>
  <c r="L68" i="6" s="1"/>
  <c r="G26" i="6"/>
  <c r="F26" i="6"/>
  <c r="C26" i="6"/>
  <c r="G48" i="6"/>
  <c r="F48" i="6"/>
  <c r="C48" i="6"/>
  <c r="G23" i="6"/>
  <c r="F23" i="6"/>
  <c r="C23" i="6"/>
  <c r="B26" i="6"/>
  <c r="L26" i="6" s="1"/>
  <c r="B48" i="6"/>
  <c r="G35" i="6"/>
  <c r="F35" i="6"/>
  <c r="C35" i="6"/>
  <c r="B23" i="6"/>
  <c r="L23" i="6" s="1"/>
  <c r="B35" i="6"/>
  <c r="L35" i="6" s="1"/>
  <c r="K23" i="6"/>
  <c r="N23" i="6"/>
  <c r="M23" i="6"/>
  <c r="N68" i="6"/>
  <c r="I68" i="6"/>
  <c r="N48" i="6"/>
  <c r="N35" i="6"/>
  <c r="M35" i="6"/>
  <c r="N26" i="6"/>
  <c r="J26" i="6"/>
  <c r="M26" i="6"/>
  <c r="G14" i="8"/>
  <c r="F14" i="8"/>
  <c r="B14" i="8"/>
  <c r="L14" i="8" s="1"/>
  <c r="L18" i="8"/>
  <c r="D5" i="8"/>
  <c r="D29" i="8"/>
  <c r="M29" i="8" s="1"/>
  <c r="M18" i="8"/>
  <c r="D14" i="8"/>
  <c r="M14" i="8" s="1"/>
  <c r="B64" i="8"/>
  <c r="B29" i="8"/>
  <c r="L29" i="8" s="1"/>
  <c r="I5" i="8"/>
  <c r="J56" i="8"/>
  <c r="K18" i="8"/>
  <c r="M47" i="8"/>
  <c r="K29" i="8"/>
  <c r="I14" i="8"/>
  <c r="N14" i="8"/>
  <c r="G12" i="4"/>
  <c r="F12" i="4"/>
  <c r="B12" i="4"/>
  <c r="G23" i="4"/>
  <c r="F23" i="4"/>
  <c r="C23" i="4"/>
  <c r="G35" i="4"/>
  <c r="F35" i="4"/>
  <c r="C35" i="4"/>
  <c r="B23" i="4"/>
  <c r="L23" i="4" s="1"/>
  <c r="G50" i="4"/>
  <c r="F50" i="4"/>
  <c r="B50" i="4"/>
  <c r="B35" i="4"/>
  <c r="C12" i="4"/>
  <c r="N12" i="4"/>
  <c r="I12" i="4"/>
  <c r="N50" i="4"/>
  <c r="K50" i="4"/>
  <c r="N35" i="4"/>
  <c r="I23" i="4"/>
  <c r="M8" i="4"/>
  <c r="G8" i="2"/>
  <c r="F8" i="2"/>
  <c r="B8" i="2"/>
  <c r="L8" i="2" s="1"/>
  <c r="G3" i="2"/>
  <c r="F3" i="2"/>
  <c r="C3" i="2"/>
  <c r="G35" i="2"/>
  <c r="F35" i="2"/>
  <c r="B35" i="2"/>
  <c r="G30" i="2"/>
  <c r="F30" i="2"/>
  <c r="C30" i="2"/>
  <c r="B3" i="2"/>
  <c r="L3" i="2" s="1"/>
  <c r="C35" i="2"/>
  <c r="B30" i="2"/>
  <c r="L30" i="2" s="1"/>
  <c r="B21" i="2"/>
  <c r="L21" i="2" s="1"/>
  <c r="K21" i="2"/>
  <c r="J23" i="2"/>
  <c r="N8" i="2"/>
  <c r="I8" i="2"/>
  <c r="N30" i="2"/>
  <c r="K30" i="2"/>
  <c r="M30" i="2"/>
  <c r="N35" i="2"/>
  <c r="I35" i="2"/>
  <c r="N3" i="2"/>
  <c r="J3" i="2"/>
  <c r="L42" i="8"/>
  <c r="G51" i="8"/>
  <c r="F51" i="8"/>
  <c r="C51" i="8"/>
  <c r="B60" i="8"/>
  <c r="B51" i="8"/>
  <c r="L51" i="8" s="1"/>
  <c r="I42" i="8"/>
  <c r="M72" i="8"/>
  <c r="K53" i="8"/>
  <c r="M38" i="8"/>
  <c r="N51" i="8"/>
  <c r="J51" i="8"/>
  <c r="I60" i="8"/>
  <c r="G51" i="6"/>
  <c r="F51" i="6"/>
  <c r="C51" i="6"/>
  <c r="L42" i="6"/>
  <c r="G66" i="6"/>
  <c r="F66" i="6"/>
  <c r="C66" i="6"/>
  <c r="B41" i="6"/>
  <c r="D66" i="6"/>
  <c r="D15" i="6"/>
  <c r="J9" i="6"/>
  <c r="I70" i="6"/>
  <c r="M52" i="6"/>
  <c r="K52" i="6"/>
  <c r="N51" i="6"/>
  <c r="K59" i="6"/>
  <c r="M42" i="6"/>
  <c r="J15" i="6"/>
  <c r="N66" i="6"/>
  <c r="G47" i="4"/>
  <c r="F47" i="4"/>
  <c r="B47" i="4"/>
  <c r="G33" i="4"/>
  <c r="F33" i="4"/>
  <c r="C33" i="4"/>
  <c r="E33" i="4" s="1"/>
  <c r="G49" i="4"/>
  <c r="F49" i="4"/>
  <c r="B49" i="4"/>
  <c r="G17" i="4"/>
  <c r="F17" i="4"/>
  <c r="C17" i="4"/>
  <c r="B36" i="4"/>
  <c r="L36" i="4" s="1"/>
  <c r="B17" i="4"/>
  <c r="C49" i="4"/>
  <c r="C47" i="4"/>
  <c r="J29" i="4"/>
  <c r="K13" i="4"/>
  <c r="N33" i="4"/>
  <c r="M33" i="4"/>
  <c r="L33" i="4"/>
  <c r="N47" i="4"/>
  <c r="I47" i="4"/>
  <c r="N17" i="4"/>
  <c r="K17" i="4"/>
  <c r="J19" i="4"/>
  <c r="N49" i="4"/>
  <c r="I49" i="4"/>
  <c r="I36" i="4"/>
  <c r="M36" i="4"/>
  <c r="K32" i="4"/>
  <c r="G13" i="2"/>
  <c r="F13" i="2"/>
  <c r="D13" i="2"/>
  <c r="D16" i="2"/>
  <c r="C13" i="2"/>
  <c r="G17" i="2"/>
  <c r="F17" i="2"/>
  <c r="B17" i="2"/>
  <c r="C17" i="2"/>
  <c r="D14" i="2"/>
  <c r="M14" i="2" s="1"/>
  <c r="N17" i="2"/>
  <c r="N13" i="2"/>
  <c r="M23" i="2"/>
  <c r="K15" i="2"/>
  <c r="J21" i="2"/>
  <c r="D40" i="4"/>
  <c r="B38" i="4"/>
  <c r="K44" i="4"/>
  <c r="F23" i="8"/>
  <c r="G23" i="8"/>
  <c r="B23" i="8"/>
  <c r="L23" i="8" s="1"/>
  <c r="G36" i="8"/>
  <c r="F36" i="8"/>
  <c r="C36" i="8"/>
  <c r="G3" i="8"/>
  <c r="F3" i="8"/>
  <c r="B3" i="8"/>
  <c r="C3" i="8"/>
  <c r="C23" i="8"/>
  <c r="J23" i="8"/>
  <c r="N23" i="8"/>
  <c r="M23" i="8"/>
  <c r="N36" i="8"/>
  <c r="K42" i="8"/>
  <c r="I3" i="8"/>
  <c r="N3" i="8"/>
  <c r="M3" i="8"/>
  <c r="G30" i="6"/>
  <c r="F30" i="6"/>
  <c r="B30" i="6"/>
  <c r="L30" i="6" s="1"/>
  <c r="G20" i="6"/>
  <c r="F20" i="6"/>
  <c r="C20" i="6"/>
  <c r="E20" i="6" s="1"/>
  <c r="L19" i="6"/>
  <c r="C19" i="6"/>
  <c r="C30" i="6"/>
  <c r="G11" i="6"/>
  <c r="F11" i="6"/>
  <c r="B11" i="6"/>
  <c r="L11" i="6" s="1"/>
  <c r="B66" i="6"/>
  <c r="D4" i="6"/>
  <c r="J66" i="6"/>
  <c r="I62" i="6"/>
  <c r="N20" i="6"/>
  <c r="K6" i="6"/>
  <c r="I11" i="6"/>
  <c r="N11" i="6"/>
  <c r="M11" i="6"/>
  <c r="K5" i="6"/>
  <c r="J19" i="6"/>
  <c r="M19" i="6"/>
  <c r="M56" i="6"/>
  <c r="N30" i="6"/>
  <c r="J30" i="6"/>
  <c r="G38" i="6"/>
  <c r="F38" i="6"/>
  <c r="C38" i="6"/>
  <c r="E38" i="6" s="1"/>
  <c r="G18" i="6"/>
  <c r="F18" i="6"/>
  <c r="C18" i="6"/>
  <c r="B61" i="6"/>
  <c r="L61" i="6" s="1"/>
  <c r="G53" i="6"/>
  <c r="F53" i="6"/>
  <c r="B53" i="6"/>
  <c r="C68" i="6"/>
  <c r="G36" i="6"/>
  <c r="F36" i="6"/>
  <c r="C36" i="6"/>
  <c r="B18" i="6"/>
  <c r="L18" i="6" s="1"/>
  <c r="C53" i="6"/>
  <c r="B36" i="6"/>
  <c r="L36" i="6" s="1"/>
  <c r="D51" i="6"/>
  <c r="D41" i="6"/>
  <c r="D50" i="6"/>
  <c r="D30" i="6"/>
  <c r="M30" i="6" s="1"/>
  <c r="N38" i="6"/>
  <c r="M38" i="6"/>
  <c r="L38" i="6"/>
  <c r="I33" i="6"/>
  <c r="N18" i="6"/>
  <c r="N36" i="6"/>
  <c r="M36" i="6"/>
  <c r="K36" i="6"/>
  <c r="J68" i="6"/>
  <c r="M68" i="6"/>
  <c r="N53" i="6"/>
  <c r="I53" i="6"/>
  <c r="M59" i="6"/>
  <c r="K51" i="6"/>
  <c r="L51" i="6"/>
  <c r="J41" i="6"/>
  <c r="K30" i="6"/>
  <c r="I61" i="6"/>
  <c r="G28" i="8"/>
  <c r="F28" i="8"/>
  <c r="C28" i="8"/>
  <c r="G27" i="8"/>
  <c r="F27" i="8"/>
  <c r="B27" i="8"/>
  <c r="L27" i="8" s="1"/>
  <c r="B28" i="8"/>
  <c r="G62" i="8"/>
  <c r="F62" i="8"/>
  <c r="C62" i="8"/>
  <c r="G9" i="8"/>
  <c r="F9" i="8"/>
  <c r="C9" i="8"/>
  <c r="E9" i="8" s="1"/>
  <c r="B62" i="8"/>
  <c r="L62" i="8" s="1"/>
  <c r="G8" i="8"/>
  <c r="F8" i="8"/>
  <c r="C8" i="8"/>
  <c r="C48" i="8"/>
  <c r="B8" i="8"/>
  <c r="L8" i="8" s="1"/>
  <c r="G6" i="8"/>
  <c r="F6" i="8"/>
  <c r="C6" i="8"/>
  <c r="G7" i="8"/>
  <c r="F7" i="8"/>
  <c r="C7" i="8"/>
  <c r="B7" i="8"/>
  <c r="L7" i="8" s="1"/>
  <c r="B6" i="8"/>
  <c r="L6" i="8" s="1"/>
  <c r="C27" i="8"/>
  <c r="I27" i="8"/>
  <c r="N27" i="8"/>
  <c r="M27" i="8"/>
  <c r="J48" i="8"/>
  <c r="N28" i="8"/>
  <c r="J28" i="8"/>
  <c r="I8" i="8"/>
  <c r="N8" i="8"/>
  <c r="M8" i="8"/>
  <c r="N62" i="8"/>
  <c r="K51" i="8"/>
  <c r="M51" i="8"/>
  <c r="N7" i="8"/>
  <c r="M7" i="8"/>
  <c r="K6" i="8"/>
  <c r="N6" i="8"/>
  <c r="M6" i="8"/>
  <c r="N9" i="8"/>
  <c r="M9" i="8"/>
  <c r="L9" i="8"/>
  <c r="G14" i="4"/>
  <c r="F14" i="4"/>
  <c r="B14" i="4"/>
  <c r="C50" i="4"/>
  <c r="D23" i="4"/>
  <c r="M23" i="4" s="1"/>
  <c r="C14" i="4"/>
  <c r="I14" i="4"/>
  <c r="N14" i="4"/>
  <c r="M14" i="4"/>
  <c r="I16" i="4"/>
  <c r="M42" i="4"/>
  <c r="J23" i="4"/>
  <c r="N23" i="4"/>
  <c r="M32" i="4"/>
  <c r="I35" i="4"/>
  <c r="N16" i="4"/>
  <c r="G45" i="6"/>
  <c r="F45" i="6"/>
  <c r="C45" i="6"/>
  <c r="G43" i="6"/>
  <c r="F43" i="6"/>
  <c r="B43" i="6"/>
  <c r="L43" i="6" s="1"/>
  <c r="B45" i="6"/>
  <c r="L45" i="6" s="1"/>
  <c r="D45" i="6"/>
  <c r="M45" i="6" s="1"/>
  <c r="D6" i="6"/>
  <c r="M20" i="6"/>
  <c r="L20" i="6"/>
  <c r="J20" i="6"/>
  <c r="J45" i="6"/>
  <c r="N45" i="6"/>
  <c r="N43" i="6"/>
  <c r="I43" i="6"/>
  <c r="C8" i="2"/>
  <c r="B13" i="2"/>
  <c r="M8" i="2"/>
  <c r="J8" i="2"/>
  <c r="M3" i="2"/>
  <c r="K3" i="2"/>
  <c r="I25" i="2"/>
  <c r="M25" i="2"/>
  <c r="K14" i="2"/>
  <c r="M6" i="2"/>
  <c r="M21" i="2"/>
  <c r="M18" i="2"/>
  <c r="M44" i="8"/>
  <c r="J44" i="8"/>
  <c r="I44" i="8"/>
  <c r="M42" i="8"/>
  <c r="I37" i="8"/>
  <c r="J60" i="8"/>
  <c r="M24" i="8"/>
  <c r="G30" i="8"/>
  <c r="F30" i="8"/>
  <c r="B30" i="8"/>
  <c r="G26" i="8"/>
  <c r="F26" i="8"/>
  <c r="B26" i="8"/>
  <c r="G17" i="8"/>
  <c r="F17" i="8"/>
  <c r="C17" i="8"/>
  <c r="B17" i="8"/>
  <c r="C26" i="8"/>
  <c r="L39" i="8"/>
  <c r="C30" i="8"/>
  <c r="B45" i="8"/>
  <c r="L45" i="8" s="1"/>
  <c r="N45" i="8"/>
  <c r="M45" i="8"/>
  <c r="J45" i="8"/>
  <c r="K36" i="8"/>
  <c r="I25" i="8"/>
  <c r="I30" i="8"/>
  <c r="N30" i="8"/>
  <c r="M30" i="8"/>
  <c r="M73" i="8"/>
  <c r="J69" i="8"/>
  <c r="M69" i="8"/>
  <c r="I26" i="8"/>
  <c r="K35" i="8"/>
  <c r="I21" i="8"/>
  <c r="J17" i="8"/>
  <c r="N26" i="8"/>
  <c r="M39" i="8"/>
  <c r="N17" i="8"/>
  <c r="G51" i="4"/>
  <c r="F51" i="4"/>
  <c r="C51" i="4"/>
  <c r="B51" i="4"/>
  <c r="L51" i="4" s="1"/>
  <c r="I19" i="4"/>
  <c r="M29" i="4"/>
  <c r="I50" i="4"/>
  <c r="K51" i="4"/>
  <c r="N51" i="4"/>
  <c r="M51" i="4"/>
  <c r="G40" i="6"/>
  <c r="F40" i="6"/>
  <c r="B40" i="6"/>
  <c r="G16" i="6"/>
  <c r="F16" i="6"/>
  <c r="B16" i="6"/>
  <c r="C37" i="6"/>
  <c r="D16" i="6"/>
  <c r="C40" i="6"/>
  <c r="C16" i="6"/>
  <c r="K41" i="6"/>
  <c r="M46" i="6"/>
  <c r="L46" i="6"/>
  <c r="J8" i="6"/>
  <c r="N16" i="6"/>
  <c r="N40" i="6"/>
  <c r="J40" i="6"/>
  <c r="G15" i="8"/>
  <c r="F15" i="8"/>
  <c r="C15" i="8"/>
  <c r="G65" i="8"/>
  <c r="F65" i="8"/>
  <c r="C65" i="8"/>
  <c r="B15" i="8"/>
  <c r="L15" i="8" s="1"/>
  <c r="B65" i="8"/>
  <c r="G74" i="8"/>
  <c r="F74" i="8"/>
  <c r="C74" i="8"/>
  <c r="B74" i="8"/>
  <c r="L74" i="8" s="1"/>
  <c r="G57" i="8"/>
  <c r="F57" i="8"/>
  <c r="C57" i="8"/>
  <c r="G32" i="8"/>
  <c r="F32" i="8"/>
  <c r="C32" i="8"/>
  <c r="B57" i="8"/>
  <c r="L57" i="8" s="1"/>
  <c r="B32" i="8"/>
  <c r="G25" i="6"/>
  <c r="F25" i="6"/>
  <c r="B25" i="6"/>
  <c r="L25" i="6" s="1"/>
  <c r="C43" i="6"/>
  <c r="G69" i="6"/>
  <c r="F69" i="6"/>
  <c r="C69" i="6"/>
  <c r="B69" i="6"/>
  <c r="L69" i="6" s="1"/>
  <c r="G34" i="6"/>
  <c r="F34" i="6"/>
  <c r="C34" i="6"/>
  <c r="E34" i="6" s="1"/>
  <c r="I28" i="8"/>
  <c r="M28" i="8"/>
  <c r="K28" i="8"/>
  <c r="N32" i="8"/>
  <c r="J74" i="8"/>
  <c r="N74" i="8"/>
  <c r="M74" i="8"/>
  <c r="K65" i="8"/>
  <c r="N65" i="8"/>
  <c r="M65" i="8"/>
  <c r="J15" i="8"/>
  <c r="M62" i="8"/>
  <c r="N57" i="8"/>
  <c r="M57" i="8"/>
  <c r="I49" i="8"/>
  <c r="M49" i="8"/>
  <c r="N15" i="8"/>
  <c r="M15" i="8"/>
  <c r="M43" i="6"/>
  <c r="J69" i="6"/>
  <c r="N69" i="6"/>
  <c r="M69" i="6"/>
  <c r="I25" i="6"/>
  <c r="N25" i="6"/>
  <c r="M25" i="6"/>
  <c r="N34" i="6"/>
  <c r="M34" i="6"/>
  <c r="L34" i="6"/>
  <c r="M33" i="6"/>
  <c r="K54" i="6"/>
  <c r="M54" i="6"/>
  <c r="I30" i="6"/>
  <c r="M18" i="6"/>
  <c r="O4" i="4" l="1"/>
  <c r="H4" i="4"/>
  <c r="E34" i="4"/>
  <c r="H6" i="4"/>
  <c r="H31" i="2"/>
  <c r="E7" i="2"/>
  <c r="H12" i="2"/>
  <c r="H7" i="2"/>
  <c r="H22" i="2"/>
  <c r="H27" i="2"/>
  <c r="H29" i="2"/>
  <c r="O34" i="8"/>
  <c r="O19" i="8"/>
  <c r="O31" i="4"/>
  <c r="L18" i="4"/>
  <c r="O18" i="4" s="1"/>
  <c r="O34" i="4"/>
  <c r="H26" i="4"/>
  <c r="O7" i="4"/>
  <c r="H5" i="4"/>
  <c r="H18" i="4"/>
  <c r="O6" i="4"/>
  <c r="O26" i="4"/>
  <c r="O25" i="4"/>
  <c r="E26" i="4"/>
  <c r="L6" i="2"/>
  <c r="O31" i="2"/>
  <c r="E33" i="2"/>
  <c r="E4" i="2"/>
  <c r="H34" i="2"/>
  <c r="O27" i="2"/>
  <c r="O7" i="2"/>
  <c r="H9" i="2"/>
  <c r="L33" i="2"/>
  <c r="O33" i="2" s="1"/>
  <c r="O12" i="2"/>
  <c r="L9" i="2"/>
  <c r="E36" i="2"/>
  <c r="E32" i="2"/>
  <c r="H68" i="8"/>
  <c r="E68" i="8"/>
  <c r="H52" i="8"/>
  <c r="H66" i="8"/>
  <c r="O24" i="6"/>
  <c r="H24" i="6"/>
  <c r="H12" i="6"/>
  <c r="E12" i="6"/>
  <c r="O12" i="6"/>
  <c r="H25" i="4"/>
  <c r="E5" i="4"/>
  <c r="H4" i="2"/>
  <c r="E34" i="2"/>
  <c r="E5" i="2"/>
  <c r="H26" i="2"/>
  <c r="H32" i="2"/>
  <c r="H33" i="2"/>
  <c r="H5" i="2"/>
  <c r="H19" i="8"/>
  <c r="H43" i="8"/>
  <c r="O43" i="8"/>
  <c r="O52" i="8"/>
  <c r="O68" i="8"/>
  <c r="O66" i="8"/>
  <c r="L61" i="8"/>
  <c r="O61" i="8" s="1"/>
  <c r="O11" i="8"/>
  <c r="O50" i="8"/>
  <c r="E11" i="8"/>
  <c r="E65" i="6"/>
  <c r="O57" i="6"/>
  <c r="O22" i="6"/>
  <c r="E59" i="6"/>
  <c r="H10" i="4"/>
  <c r="O5" i="4"/>
  <c r="O34" i="2"/>
  <c r="O9" i="2"/>
  <c r="O36" i="2"/>
  <c r="O26" i="2"/>
  <c r="O32" i="2"/>
  <c r="O5" i="2"/>
  <c r="H19" i="2"/>
  <c r="E28" i="2"/>
  <c r="H28" i="2"/>
  <c r="O28" i="2"/>
  <c r="H50" i="8"/>
  <c r="H11" i="8"/>
  <c r="H61" i="8"/>
  <c r="E50" i="8"/>
  <c r="E10" i="8"/>
  <c r="H63" i="8"/>
  <c r="E63" i="8"/>
  <c r="O63" i="8"/>
  <c r="E58" i="6"/>
  <c r="H70" i="8"/>
  <c r="E70" i="8"/>
  <c r="O67" i="8"/>
  <c r="O70" i="8"/>
  <c r="E59" i="8"/>
  <c r="H63" i="6"/>
  <c r="E63" i="6"/>
  <c r="H57" i="6"/>
  <c r="E57" i="6"/>
  <c r="O63" i="6"/>
  <c r="H13" i="6"/>
  <c r="H14" i="6"/>
  <c r="H64" i="6"/>
  <c r="H58" i="6"/>
  <c r="H20" i="4"/>
  <c r="E20" i="4"/>
  <c r="E48" i="4"/>
  <c r="E10" i="4"/>
  <c r="O20" i="4"/>
  <c r="O41" i="4"/>
  <c r="O48" i="4"/>
  <c r="O10" i="4"/>
  <c r="H42" i="4"/>
  <c r="E8" i="4"/>
  <c r="E41" i="4"/>
  <c r="E10" i="2"/>
  <c r="H10" i="2"/>
  <c r="E19" i="2"/>
  <c r="O10" i="2"/>
  <c r="H6" i="2"/>
  <c r="O24" i="2"/>
  <c r="E11" i="2"/>
  <c r="O19" i="2"/>
  <c r="H67" i="8"/>
  <c r="E67" i="8"/>
  <c r="H16" i="8"/>
  <c r="E75" i="8"/>
  <c r="E29" i="8"/>
  <c r="E24" i="8"/>
  <c r="H65" i="6"/>
  <c r="O65" i="6"/>
  <c r="E64" i="6"/>
  <c r="H67" i="6"/>
  <c r="E46" i="6"/>
  <c r="H12" i="8"/>
  <c r="H41" i="4"/>
  <c r="E23" i="4"/>
  <c r="H36" i="4"/>
  <c r="H24" i="2"/>
  <c r="E24" i="2"/>
  <c r="E20" i="2"/>
  <c r="H11" i="2"/>
  <c r="O11" i="2"/>
  <c r="H20" i="2"/>
  <c r="O20" i="2"/>
  <c r="E3" i="2"/>
  <c r="L18" i="2"/>
  <c r="O18" i="2" s="1"/>
  <c r="O30" i="2"/>
  <c r="E30" i="2"/>
  <c r="E67" i="6"/>
  <c r="O64" i="6"/>
  <c r="E47" i="6"/>
  <c r="O58" i="6"/>
  <c r="O67" i="6"/>
  <c r="O44" i="6"/>
  <c r="H44" i="6"/>
  <c r="E44" i="6"/>
  <c r="H47" i="6"/>
  <c r="E7" i="6"/>
  <c r="O47" i="6"/>
  <c r="E23" i="6"/>
  <c r="O35" i="6"/>
  <c r="H23" i="6"/>
  <c r="E61" i="6"/>
  <c r="H59" i="8"/>
  <c r="H10" i="8"/>
  <c r="L12" i="8"/>
  <c r="O12" i="8" s="1"/>
  <c r="E14" i="8"/>
  <c r="O59" i="8"/>
  <c r="O10" i="8"/>
  <c r="H14" i="8"/>
  <c r="H47" i="8"/>
  <c r="O75" i="8"/>
  <c r="O47" i="8"/>
  <c r="H21" i="4"/>
  <c r="E21" i="4"/>
  <c r="O21" i="4"/>
  <c r="H32" i="4"/>
  <c r="E36" i="4"/>
  <c r="H8" i="4"/>
  <c r="O8" i="4"/>
  <c r="E16" i="8"/>
  <c r="O16" i="8"/>
  <c r="H75" i="8"/>
  <c r="E47" i="8"/>
  <c r="E38" i="8"/>
  <c r="E28" i="8"/>
  <c r="E35" i="6"/>
  <c r="H35" i="6"/>
  <c r="H26" i="6"/>
  <c r="E26" i="6"/>
  <c r="O23" i="6"/>
  <c r="O38" i="6"/>
  <c r="E52" i="6"/>
  <c r="O26" i="6"/>
  <c r="O52" i="6"/>
  <c r="O42" i="6"/>
  <c r="H52" i="6"/>
  <c r="E42" i="6"/>
  <c r="O72" i="8"/>
  <c r="O14" i="8"/>
  <c r="O33" i="4"/>
  <c r="H30" i="2"/>
  <c r="H72" i="8"/>
  <c r="E72" i="8"/>
  <c r="H38" i="8"/>
  <c r="E3" i="8"/>
  <c r="O38" i="8"/>
  <c r="H3" i="8"/>
  <c r="L3" i="8"/>
  <c r="O3" i="8" s="1"/>
  <c r="H42" i="6"/>
  <c r="E51" i="6"/>
  <c r="E56" i="6"/>
  <c r="E18" i="6"/>
  <c r="H61" i="6"/>
  <c r="H33" i="4"/>
  <c r="E42" i="4"/>
  <c r="E14" i="4"/>
  <c r="O36" i="4"/>
  <c r="L14" i="4"/>
  <c r="O14" i="4" s="1"/>
  <c r="O42" i="4"/>
  <c r="E23" i="2"/>
  <c r="E15" i="2"/>
  <c r="O15" i="2"/>
  <c r="H23" i="2"/>
  <c r="H15" i="2"/>
  <c r="O23" i="2"/>
  <c r="H21" i="2"/>
  <c r="E23" i="8"/>
  <c r="H23" i="8"/>
  <c r="O23" i="8"/>
  <c r="H6" i="8"/>
  <c r="O19" i="6"/>
  <c r="E19" i="6"/>
  <c r="H19" i="6"/>
  <c r="H56" i="6"/>
  <c r="H11" i="6"/>
  <c r="H4" i="6"/>
  <c r="E11" i="6"/>
  <c r="O11" i="6"/>
  <c r="M51" i="6"/>
  <c r="O51" i="6" s="1"/>
  <c r="H7" i="6"/>
  <c r="H36" i="6"/>
  <c r="H38" i="6"/>
  <c r="O56" i="6"/>
  <c r="O7" i="6"/>
  <c r="E36" i="6"/>
  <c r="H68" i="6"/>
  <c r="E68" i="6"/>
  <c r="H59" i="6"/>
  <c r="H51" i="6"/>
  <c r="O36" i="6"/>
  <c r="O68" i="6"/>
  <c r="H45" i="6"/>
  <c r="O59" i="6"/>
  <c r="H46" i="6"/>
  <c r="O61" i="6"/>
  <c r="O20" i="6"/>
  <c r="E51" i="8"/>
  <c r="E27" i="8"/>
  <c r="H51" i="8"/>
  <c r="H8" i="8"/>
  <c r="E6" i="8"/>
  <c r="H27" i="8"/>
  <c r="E8" i="8"/>
  <c r="H9" i="8"/>
  <c r="H7" i="8"/>
  <c r="E7" i="8"/>
  <c r="O27" i="8"/>
  <c r="H44" i="8"/>
  <c r="O9" i="8"/>
  <c r="O8" i="8"/>
  <c r="O7" i="8"/>
  <c r="O51" i="8"/>
  <c r="O6" i="8"/>
  <c r="E44" i="8"/>
  <c r="O23" i="4"/>
  <c r="H23" i="4"/>
  <c r="E32" i="4"/>
  <c r="H14" i="4"/>
  <c r="O32" i="4"/>
  <c r="H51" i="4"/>
  <c r="E45" i="6"/>
  <c r="H20" i="6"/>
  <c r="O45" i="6"/>
  <c r="O46" i="6"/>
  <c r="H14" i="2"/>
  <c r="E25" i="2"/>
  <c r="H3" i="2"/>
  <c r="H18" i="2"/>
  <c r="H8" i="2"/>
  <c r="E8" i="2"/>
  <c r="O8" i="2"/>
  <c r="E14" i="2"/>
  <c r="H25" i="2"/>
  <c r="E21" i="2"/>
  <c r="O3" i="2"/>
  <c r="O25" i="2"/>
  <c r="O14" i="2"/>
  <c r="O6" i="2"/>
  <c r="O21" i="2"/>
  <c r="E41" i="8"/>
  <c r="E30" i="8"/>
  <c r="L44" i="8"/>
  <c r="O44" i="8" s="1"/>
  <c r="H41" i="8"/>
  <c r="E42" i="8"/>
  <c r="H24" i="8"/>
  <c r="H42" i="8"/>
  <c r="L41" i="8"/>
  <c r="O41" i="8" s="1"/>
  <c r="O42" i="8"/>
  <c r="E69" i="8"/>
  <c r="O29" i="8"/>
  <c r="O45" i="8"/>
  <c r="E45" i="8"/>
  <c r="H29" i="8"/>
  <c r="E18" i="8"/>
  <c r="O24" i="8"/>
  <c r="H73" i="8"/>
  <c r="E39" i="8"/>
  <c r="L30" i="8"/>
  <c r="O30" i="8" s="1"/>
  <c r="E73" i="8"/>
  <c r="H30" i="8"/>
  <c r="O18" i="8"/>
  <c r="H39" i="8"/>
  <c r="H69" i="8"/>
  <c r="H18" i="8"/>
  <c r="H45" i="8"/>
  <c r="O39" i="8"/>
  <c r="O73" i="8"/>
  <c r="O69" i="8"/>
  <c r="E65" i="8"/>
  <c r="O57" i="8"/>
  <c r="E62" i="8"/>
  <c r="H29" i="4"/>
  <c r="E29" i="4"/>
  <c r="E51" i="4"/>
  <c r="O29" i="4"/>
  <c r="O51" i="4"/>
  <c r="H62" i="6"/>
  <c r="E62" i="6"/>
  <c r="E54" i="6"/>
  <c r="E33" i="6"/>
  <c r="O62" i="6"/>
  <c r="O74" i="8"/>
  <c r="O62" i="8"/>
  <c r="E57" i="8"/>
  <c r="L28" i="8"/>
  <c r="O28" i="8" s="1"/>
  <c r="E49" i="8"/>
  <c r="H62" i="8"/>
  <c r="E74" i="8"/>
  <c r="H28" i="8"/>
  <c r="H74" i="8"/>
  <c r="L65" i="8"/>
  <c r="O65" i="8" s="1"/>
  <c r="H65" i="8"/>
  <c r="E15" i="8"/>
  <c r="H6" i="6"/>
  <c r="E25" i="6"/>
  <c r="H25" i="6"/>
  <c r="H69" i="6"/>
  <c r="H33" i="6"/>
  <c r="H34" i="6"/>
  <c r="E69" i="6"/>
  <c r="H43" i="6"/>
  <c r="E43" i="6"/>
  <c r="O43" i="6"/>
  <c r="L33" i="6"/>
  <c r="O33" i="6" s="1"/>
  <c r="H54" i="6"/>
  <c r="H30" i="6"/>
  <c r="E30" i="6"/>
  <c r="H18" i="6"/>
  <c r="H15" i="8"/>
  <c r="H49" i="8"/>
  <c r="H57" i="8"/>
  <c r="O15" i="8"/>
  <c r="O49" i="8"/>
  <c r="O34" i="6"/>
  <c r="O69" i="6"/>
  <c r="O25" i="6"/>
  <c r="O30" i="6"/>
  <c r="O18" i="6"/>
  <c r="O54" i="6"/>
  <c r="G14" i="10" l="1"/>
  <c r="F14" i="10"/>
  <c r="C14" i="10"/>
  <c r="G6" i="10"/>
  <c r="F6" i="10"/>
  <c r="B6" i="10"/>
  <c r="B14" i="10"/>
  <c r="G4" i="10"/>
  <c r="F4" i="10"/>
  <c r="C4" i="10"/>
  <c r="E4" i="10" s="1"/>
  <c r="H6" i="10"/>
  <c r="E6" i="10"/>
  <c r="E14" i="10"/>
  <c r="G7" i="10"/>
  <c r="F7" i="10"/>
  <c r="C7" i="10"/>
  <c r="G15" i="10"/>
  <c r="F15" i="10"/>
  <c r="C15" i="10"/>
  <c r="G12" i="10"/>
  <c r="F12" i="10"/>
  <c r="B12" i="10"/>
  <c r="G9" i="10"/>
  <c r="F9" i="10"/>
  <c r="C9" i="10"/>
  <c r="B15" i="10"/>
  <c r="G5" i="10"/>
  <c r="H5" i="10" s="1"/>
  <c r="F5" i="10"/>
  <c r="C5" i="10"/>
  <c r="B9" i="10"/>
  <c r="L15" i="10"/>
  <c r="C6" i="10"/>
  <c r="E9" i="10"/>
  <c r="B5" i="10"/>
  <c r="L5" i="10" s="1"/>
  <c r="E15" i="10"/>
  <c r="C12" i="10"/>
  <c r="I6" i="10"/>
  <c r="N6" i="10"/>
  <c r="M6" i="10"/>
  <c r="N14" i="10"/>
  <c r="O14" i="10" s="1"/>
  <c r="M14" i="10"/>
  <c r="L14" i="10"/>
  <c r="J14" i="10"/>
  <c r="N9" i="10"/>
  <c r="M9" i="10"/>
  <c r="L9" i="10"/>
  <c r="N7" i="10"/>
  <c r="M7" i="10"/>
  <c r="L7" i="10"/>
  <c r="E7" i="10"/>
  <c r="K4" i="10"/>
  <c r="N4" i="10"/>
  <c r="M4" i="10"/>
  <c r="L4" i="10"/>
  <c r="J15" i="10"/>
  <c r="N15" i="10"/>
  <c r="M15" i="10"/>
  <c r="K5" i="10"/>
  <c r="N5" i="10"/>
  <c r="M5" i="10"/>
  <c r="N12" i="10"/>
  <c r="I12" i="10"/>
  <c r="L35" i="2"/>
  <c r="L13" i="2"/>
  <c r="L17" i="2"/>
  <c r="E16" i="2"/>
  <c r="M35" i="2"/>
  <c r="K17" i="2"/>
  <c r="M17" i="2"/>
  <c r="M16" i="2"/>
  <c r="L16" i="2"/>
  <c r="J13" i="2"/>
  <c r="M13" i="2"/>
  <c r="L48" i="8"/>
  <c r="L53" i="8"/>
  <c r="L25" i="8"/>
  <c r="M53" i="8"/>
  <c r="M48" i="8"/>
  <c r="K25" i="8"/>
  <c r="M25" i="8"/>
  <c r="J21" i="8"/>
  <c r="G60" i="6"/>
  <c r="F60" i="6"/>
  <c r="B60" i="6"/>
  <c r="L60" i="6" s="1"/>
  <c r="E70" i="6"/>
  <c r="L40" i="6"/>
  <c r="L4" i="6"/>
  <c r="L5" i="6"/>
  <c r="G49" i="6"/>
  <c r="F49" i="6"/>
  <c r="B49" i="6"/>
  <c r="E49" i="6" s="1"/>
  <c r="L31" i="6"/>
  <c r="C60" i="6"/>
  <c r="L50" i="6"/>
  <c r="N60" i="6"/>
  <c r="M60" i="6"/>
  <c r="I60" i="6"/>
  <c r="K39" i="6"/>
  <c r="M40" i="6"/>
  <c r="I40" i="6"/>
  <c r="M50" i="6"/>
  <c r="M4" i="6"/>
  <c r="M70" i="6"/>
  <c r="L70" i="6"/>
  <c r="J5" i="6"/>
  <c r="M5" i="6"/>
  <c r="I49" i="6"/>
  <c r="N49" i="6"/>
  <c r="M49" i="6"/>
  <c r="J31" i="6"/>
  <c r="M32" i="6"/>
  <c r="K32" i="6"/>
  <c r="E73" i="6"/>
  <c r="H73" i="6"/>
  <c r="L73" i="6"/>
  <c r="M73" i="6"/>
  <c r="G53" i="4"/>
  <c r="F53" i="4"/>
  <c r="B53" i="4"/>
  <c r="L53" i="4" s="1"/>
  <c r="L19" i="4"/>
  <c r="G43" i="4"/>
  <c r="F43" i="4"/>
  <c r="C43" i="4"/>
  <c r="E40" i="4"/>
  <c r="B43" i="4"/>
  <c r="L43" i="4" s="1"/>
  <c r="G37" i="4"/>
  <c r="F37" i="4"/>
  <c r="C37" i="4"/>
  <c r="B37" i="4"/>
  <c r="L37" i="4" s="1"/>
  <c r="E38" i="4"/>
  <c r="L46" i="4"/>
  <c r="G52" i="4"/>
  <c r="F52" i="4"/>
  <c r="C52" i="4"/>
  <c r="L35" i="4"/>
  <c r="C53" i="4"/>
  <c r="L44" i="4"/>
  <c r="L15" i="4"/>
  <c r="K35" i="4"/>
  <c r="M35" i="4"/>
  <c r="I53" i="4"/>
  <c r="N53" i="4"/>
  <c r="M53" i="4"/>
  <c r="N43" i="4"/>
  <c r="J37" i="4"/>
  <c r="N37" i="4"/>
  <c r="M37" i="4"/>
  <c r="M46" i="4"/>
  <c r="K12" i="4"/>
  <c r="M54" i="4"/>
  <c r="L54" i="4"/>
  <c r="M15" i="4"/>
  <c r="K13" i="6"/>
  <c r="L46" i="8"/>
  <c r="B36" i="8"/>
  <c r="L32" i="8"/>
  <c r="G58" i="8"/>
  <c r="F58" i="8"/>
  <c r="C58" i="8"/>
  <c r="E58" i="8" s="1"/>
  <c r="L26" i="8"/>
  <c r="E40" i="8"/>
  <c r="L37" i="8"/>
  <c r="D56" i="8"/>
  <c r="B71" i="8"/>
  <c r="L71" i="8" s="1"/>
  <c r="M26" i="8"/>
  <c r="K26" i="8"/>
  <c r="N58" i="8"/>
  <c r="M58" i="8"/>
  <c r="L58" i="8"/>
  <c r="K37" i="8"/>
  <c r="M37" i="8"/>
  <c r="J32" i="8"/>
  <c r="M32" i="8"/>
  <c r="M40" i="8"/>
  <c r="L40" i="8"/>
  <c r="M71" i="8"/>
  <c r="J36" i="8"/>
  <c r="M46" i="8"/>
  <c r="G45" i="4"/>
  <c r="F45" i="4"/>
  <c r="C45" i="4"/>
  <c r="E45" i="4" s="1"/>
  <c r="G22" i="4"/>
  <c r="F22" i="4"/>
  <c r="C22" i="4"/>
  <c r="B22" i="4"/>
  <c r="G39" i="4"/>
  <c r="F39" i="4"/>
  <c r="C39" i="4"/>
  <c r="B39" i="4"/>
  <c r="M27" i="4"/>
  <c r="J22" i="4"/>
  <c r="N22" i="4"/>
  <c r="M22" i="4"/>
  <c r="N45" i="4"/>
  <c r="M45" i="4"/>
  <c r="M13" i="4"/>
  <c r="N39" i="4"/>
  <c r="M39" i="4"/>
  <c r="K39" i="4"/>
  <c r="M49" i="4"/>
  <c r="K49" i="4"/>
  <c r="K38" i="4"/>
  <c r="M38" i="4"/>
  <c r="M28" i="4"/>
  <c r="L21" i="6"/>
  <c r="L37" i="6"/>
  <c r="L27" i="6"/>
  <c r="G28" i="6"/>
  <c r="F28" i="6"/>
  <c r="B28" i="6"/>
  <c r="L28" i="6" s="1"/>
  <c r="L48" i="6"/>
  <c r="L14" i="6"/>
  <c r="D37" i="6"/>
  <c r="M37" i="6" s="1"/>
  <c r="M27" i="6"/>
  <c r="K48" i="6"/>
  <c r="M48" i="6"/>
  <c r="M3" i="6"/>
  <c r="I28" i="6"/>
  <c r="N28" i="6"/>
  <c r="M28" i="6"/>
  <c r="M21" i="6"/>
  <c r="K66" i="6"/>
  <c r="M66" i="6"/>
  <c r="M14" i="6"/>
  <c r="M31" i="6"/>
  <c r="N29" i="6"/>
  <c r="I41" i="6"/>
  <c r="G55" i="8"/>
  <c r="F55" i="8"/>
  <c r="B55" i="8"/>
  <c r="L5" i="8"/>
  <c r="C55" i="8"/>
  <c r="M5" i="8"/>
  <c r="I55" i="8"/>
  <c r="N55" i="8"/>
  <c r="M55" i="8"/>
  <c r="G3" i="10"/>
  <c r="F3" i="10"/>
  <c r="C3" i="10"/>
  <c r="G11" i="10"/>
  <c r="F11" i="10"/>
  <c r="C11" i="10"/>
  <c r="B3" i="10"/>
  <c r="G10" i="10"/>
  <c r="F10" i="10"/>
  <c r="C10" i="10"/>
  <c r="G13" i="10"/>
  <c r="F13" i="10"/>
  <c r="B13" i="10"/>
  <c r="G8" i="10"/>
  <c r="F8" i="10"/>
  <c r="C8" i="10"/>
  <c r="C13" i="10"/>
  <c r="B8" i="10"/>
  <c r="D8" i="10"/>
  <c r="D10" i="10"/>
  <c r="B11" i="10"/>
  <c r="N13" i="10"/>
  <c r="I13" i="10"/>
  <c r="N11" i="10"/>
  <c r="K11" i="10"/>
  <c r="N10" i="10"/>
  <c r="N8" i="10"/>
  <c r="J8" i="10"/>
  <c r="N3" i="10"/>
  <c r="J3" i="10"/>
  <c r="G16" i="4"/>
  <c r="F16" i="4"/>
  <c r="B16" i="4"/>
  <c r="L16" i="4" s="1"/>
  <c r="B52" i="4"/>
  <c r="L52" i="4" s="1"/>
  <c r="G11" i="4"/>
  <c r="F11" i="4"/>
  <c r="C11" i="4"/>
  <c r="E3" i="4"/>
  <c r="B11" i="4"/>
  <c r="M3" i="4"/>
  <c r="L3" i="4"/>
  <c r="N11" i="4"/>
  <c r="M11" i="4"/>
  <c r="J52" i="4"/>
  <c r="N52" i="4"/>
  <c r="M52" i="4"/>
  <c r="I43" i="4"/>
  <c r="M43" i="4"/>
  <c r="M19" i="4"/>
  <c r="M16" i="4"/>
  <c r="M40" i="4"/>
  <c r="L40" i="4"/>
  <c r="M44" i="4"/>
  <c r="G29" i="6"/>
  <c r="F29" i="6"/>
  <c r="B29" i="6"/>
  <c r="C29" i="6"/>
  <c r="D17" i="6"/>
  <c r="J53" i="6"/>
  <c r="I39" i="6"/>
  <c r="I29" i="6"/>
  <c r="I16" i="6"/>
  <c r="G24" i="4"/>
  <c r="F24" i="4"/>
  <c r="C24" i="4"/>
  <c r="G9" i="4"/>
  <c r="F9" i="4"/>
  <c r="C9" i="4"/>
  <c r="B9" i="4"/>
  <c r="I30" i="4"/>
  <c r="N24" i="4"/>
  <c r="N9" i="4"/>
  <c r="J17" i="4"/>
  <c r="C13" i="8"/>
  <c r="E13" i="8" s="1"/>
  <c r="G22" i="8"/>
  <c r="F22" i="8"/>
  <c r="B22" i="8"/>
  <c r="G4" i="8"/>
  <c r="F4" i="8"/>
  <c r="C4" i="8"/>
  <c r="B4" i="8"/>
  <c r="C22" i="8"/>
  <c r="J35" i="8"/>
  <c r="N22" i="8"/>
  <c r="I22" i="8"/>
  <c r="I17" i="8"/>
  <c r="N4" i="8"/>
  <c r="J13" i="8"/>
  <c r="O15" i="4" l="1"/>
  <c r="O35" i="4"/>
  <c r="H16" i="2"/>
  <c r="H35" i="2"/>
  <c r="O16" i="2"/>
  <c r="H17" i="2"/>
  <c r="O13" i="2"/>
  <c r="O17" i="2"/>
  <c r="E13" i="2"/>
  <c r="O35" i="2"/>
  <c r="O53" i="8"/>
  <c r="O37" i="4"/>
  <c r="E27" i="4"/>
  <c r="H5" i="6"/>
  <c r="H25" i="8"/>
  <c r="E53" i="8"/>
  <c r="H50" i="6"/>
  <c r="H70" i="6"/>
  <c r="E4" i="6"/>
  <c r="L49" i="6"/>
  <c r="O49" i="6" s="1"/>
  <c r="H49" i="6"/>
  <c r="E60" i="6"/>
  <c r="H4" i="10"/>
  <c r="L6" i="10"/>
  <c r="O6" i="10" s="1"/>
  <c r="H9" i="10"/>
  <c r="H14" i="10"/>
  <c r="H15" i="10"/>
  <c r="H7" i="10"/>
  <c r="E5" i="10"/>
  <c r="O7" i="10"/>
  <c r="O9" i="10"/>
  <c r="O4" i="10"/>
  <c r="O15" i="10"/>
  <c r="O5" i="10"/>
  <c r="E17" i="2"/>
  <c r="H13" i="2"/>
  <c r="E35" i="2"/>
  <c r="H48" i="8"/>
  <c r="H53" i="8"/>
  <c r="E48" i="8"/>
  <c r="O25" i="8"/>
  <c r="E25" i="8"/>
  <c r="E46" i="8"/>
  <c r="O48" i="8"/>
  <c r="H40" i="8"/>
  <c r="O58" i="8"/>
  <c r="H46" i="8"/>
  <c r="E32" i="8"/>
  <c r="H32" i="8"/>
  <c r="E71" i="8"/>
  <c r="E37" i="8"/>
  <c r="O60" i="6"/>
  <c r="H40" i="6"/>
  <c r="E40" i="6"/>
  <c r="H60" i="6"/>
  <c r="E50" i="6"/>
  <c r="E5" i="6"/>
  <c r="O40" i="6"/>
  <c r="O70" i="6"/>
  <c r="O4" i="6"/>
  <c r="O50" i="6"/>
  <c r="E66" i="6"/>
  <c r="O5" i="6"/>
  <c r="H21" i="6"/>
  <c r="H48" i="6"/>
  <c r="E32" i="6"/>
  <c r="H32" i="6"/>
  <c r="O48" i="6"/>
  <c r="E14" i="6"/>
  <c r="E37" i="6"/>
  <c r="E3" i="6"/>
  <c r="E27" i="6"/>
  <c r="O73" i="6"/>
  <c r="O14" i="6"/>
  <c r="H37" i="6"/>
  <c r="L32" i="6"/>
  <c r="O32" i="6" s="1"/>
  <c r="L66" i="6"/>
  <c r="O66" i="6" s="1"/>
  <c r="E21" i="6"/>
  <c r="H35" i="4"/>
  <c r="O53" i="4"/>
  <c r="E35" i="4"/>
  <c r="O45" i="4"/>
  <c r="E53" i="4"/>
  <c r="H53" i="4"/>
  <c r="H45" i="4"/>
  <c r="H54" i="4"/>
  <c r="E28" i="4"/>
  <c r="H15" i="4"/>
  <c r="H38" i="4"/>
  <c r="H37" i="4"/>
  <c r="E37" i="4"/>
  <c r="O54" i="4"/>
  <c r="O46" i="4"/>
  <c r="H46" i="4"/>
  <c r="E46" i="4"/>
  <c r="E54" i="4"/>
  <c r="E15" i="4"/>
  <c r="E39" i="4"/>
  <c r="H28" i="4"/>
  <c r="H49" i="4"/>
  <c r="E22" i="4"/>
  <c r="O27" i="4"/>
  <c r="H33" i="8"/>
  <c r="H58" i="8"/>
  <c r="H26" i="8"/>
  <c r="E26" i="8"/>
  <c r="O26" i="8"/>
  <c r="H71" i="8"/>
  <c r="H37" i="8"/>
  <c r="O37" i="8"/>
  <c r="O32" i="8"/>
  <c r="O71" i="8"/>
  <c r="O40" i="8"/>
  <c r="E5" i="8"/>
  <c r="O46" i="8"/>
  <c r="E55" i="8"/>
  <c r="H13" i="4"/>
  <c r="E13" i="4"/>
  <c r="H22" i="4"/>
  <c r="H39" i="4"/>
  <c r="E49" i="4"/>
  <c r="H27" i="4"/>
  <c r="O22" i="4"/>
  <c r="O39" i="4"/>
  <c r="O13" i="4"/>
  <c r="O49" i="4"/>
  <c r="O38" i="4"/>
  <c r="O28" i="4"/>
  <c r="O3" i="4"/>
  <c r="H3" i="4"/>
  <c r="H31" i="6"/>
  <c r="E31" i="6"/>
  <c r="E48" i="6"/>
  <c r="H3" i="6"/>
  <c r="E28" i="6"/>
  <c r="H66" i="6"/>
  <c r="L3" i="6"/>
  <c r="O3" i="6" s="1"/>
  <c r="H28" i="6"/>
  <c r="H27" i="6"/>
  <c r="O21" i="6"/>
  <c r="O28" i="6"/>
  <c r="O37" i="6"/>
  <c r="O27" i="6"/>
  <c r="O31" i="6"/>
  <c r="H55" i="8"/>
  <c r="L55" i="8"/>
  <c r="O55" i="8" s="1"/>
  <c r="O5" i="8"/>
  <c r="H16" i="4"/>
  <c r="E11" i="4"/>
  <c r="E43" i="4"/>
  <c r="H40" i="4"/>
  <c r="H43" i="4"/>
  <c r="E52" i="4"/>
  <c r="H11" i="4"/>
  <c r="H44" i="4"/>
  <c r="H52" i="4"/>
  <c r="H19" i="4"/>
  <c r="E19" i="4"/>
  <c r="E44" i="4"/>
  <c r="L11" i="4"/>
  <c r="O11" i="4" s="1"/>
  <c r="E16" i="4"/>
  <c r="O19" i="4"/>
  <c r="O52" i="4"/>
  <c r="O43" i="4"/>
  <c r="O16" i="4"/>
  <c r="O40" i="4"/>
  <c r="O44" i="4"/>
  <c r="H8" i="6"/>
  <c r="M108" i="2" l="1"/>
  <c r="O108" i="2" s="1"/>
  <c r="H108" i="2"/>
  <c r="E108" i="2"/>
  <c r="M107" i="2"/>
  <c r="O107" i="2" s="1"/>
  <c r="H107" i="2"/>
  <c r="E107" i="2"/>
  <c r="M106" i="2"/>
  <c r="O106" i="2" s="1"/>
  <c r="H106" i="2"/>
  <c r="E106" i="2"/>
  <c r="M105" i="2"/>
  <c r="O105" i="2" s="1"/>
  <c r="H105" i="2"/>
  <c r="E105" i="2"/>
  <c r="M104" i="2"/>
  <c r="O104" i="2" s="1"/>
  <c r="H104" i="2"/>
  <c r="E104" i="2"/>
  <c r="M103" i="2"/>
  <c r="O103" i="2" s="1"/>
  <c r="H103" i="2"/>
  <c r="E103" i="2"/>
  <c r="M102" i="2"/>
  <c r="O102" i="2" s="1"/>
  <c r="H102" i="2"/>
  <c r="E102" i="2"/>
  <c r="M101" i="2"/>
  <c r="O101" i="2" s="1"/>
  <c r="H101" i="2"/>
  <c r="E101" i="2"/>
  <c r="M100" i="2"/>
  <c r="O100" i="2" s="1"/>
  <c r="H100" i="2"/>
  <c r="E100" i="2"/>
  <c r="M99" i="2"/>
  <c r="O99" i="2" s="1"/>
  <c r="H99" i="2"/>
  <c r="E99" i="2"/>
  <c r="M98" i="2"/>
  <c r="O98" i="2" s="1"/>
  <c r="H98" i="2"/>
  <c r="E98" i="2"/>
  <c r="M97" i="2"/>
  <c r="O97" i="2" s="1"/>
  <c r="H97" i="2"/>
  <c r="E97" i="2"/>
  <c r="M96" i="2"/>
  <c r="O96" i="2" s="1"/>
  <c r="H96" i="2"/>
  <c r="E96" i="2"/>
  <c r="M95" i="2"/>
  <c r="O95" i="2" s="1"/>
  <c r="H95" i="2"/>
  <c r="E95" i="2"/>
  <c r="M94" i="2"/>
  <c r="O94" i="2" s="1"/>
  <c r="H94" i="2"/>
  <c r="E94" i="2"/>
  <c r="M93" i="2"/>
  <c r="O93" i="2" s="1"/>
  <c r="H93" i="2"/>
  <c r="E93" i="2"/>
  <c r="M92" i="2"/>
  <c r="O92" i="2" s="1"/>
  <c r="H92" i="2"/>
  <c r="E92" i="2"/>
  <c r="M91" i="2"/>
  <c r="O91" i="2" s="1"/>
  <c r="H91" i="2"/>
  <c r="E91" i="2"/>
  <c r="M90" i="2"/>
  <c r="O90" i="2" s="1"/>
  <c r="H90" i="2"/>
  <c r="E90" i="2"/>
  <c r="M89" i="2"/>
  <c r="O89" i="2" s="1"/>
  <c r="H89" i="2"/>
  <c r="E89" i="2"/>
  <c r="M88" i="2"/>
  <c r="O88" i="2" s="1"/>
  <c r="H88" i="2"/>
  <c r="E88" i="2"/>
  <c r="M87" i="2"/>
  <c r="O87" i="2" s="1"/>
  <c r="H87" i="2"/>
  <c r="E87" i="2"/>
  <c r="M86" i="2"/>
  <c r="O86" i="2" s="1"/>
  <c r="H86" i="2"/>
  <c r="E86" i="2"/>
  <c r="M85" i="2"/>
  <c r="L85" i="2"/>
  <c r="H85" i="2"/>
  <c r="E85" i="2"/>
  <c r="M84" i="2"/>
  <c r="L84" i="2"/>
  <c r="H84" i="2"/>
  <c r="E84" i="2"/>
  <c r="M83" i="2"/>
  <c r="L83" i="2"/>
  <c r="H83" i="2"/>
  <c r="E83" i="2"/>
  <c r="M82" i="2"/>
  <c r="L82" i="2"/>
  <c r="H82" i="2"/>
  <c r="E82" i="2"/>
  <c r="M81" i="2"/>
  <c r="L81" i="2"/>
  <c r="H81" i="2"/>
  <c r="E81" i="2"/>
  <c r="M80" i="2"/>
  <c r="L80" i="2"/>
  <c r="H80" i="2"/>
  <c r="E80" i="2"/>
  <c r="M79" i="2"/>
  <c r="L79" i="2"/>
  <c r="H79" i="2"/>
  <c r="E79" i="2"/>
  <c r="M78" i="2"/>
  <c r="L78" i="2"/>
  <c r="H78" i="2"/>
  <c r="E78" i="2"/>
  <c r="M77" i="2"/>
  <c r="L77" i="2"/>
  <c r="H77" i="2"/>
  <c r="E77" i="2"/>
  <c r="M76" i="2"/>
  <c r="L76" i="2"/>
  <c r="H76" i="2"/>
  <c r="E76" i="2"/>
  <c r="M75" i="2"/>
  <c r="L75" i="2"/>
  <c r="H75" i="2"/>
  <c r="E75" i="2"/>
  <c r="M74" i="2"/>
  <c r="L74" i="2"/>
  <c r="H74" i="2"/>
  <c r="E74" i="2"/>
  <c r="M73" i="2"/>
  <c r="L73" i="2"/>
  <c r="H73" i="2"/>
  <c r="E73" i="2"/>
  <c r="M72" i="2"/>
  <c r="L72" i="2"/>
  <c r="H72" i="2"/>
  <c r="E72" i="2"/>
  <c r="M71" i="2"/>
  <c r="L71" i="2"/>
  <c r="H71" i="2"/>
  <c r="E71" i="2"/>
  <c r="M70" i="2"/>
  <c r="L70" i="2"/>
  <c r="H70" i="2"/>
  <c r="E70" i="2"/>
  <c r="M69" i="2"/>
  <c r="L69" i="2"/>
  <c r="H69" i="2"/>
  <c r="E69" i="2"/>
  <c r="M68" i="2"/>
  <c r="L68" i="2"/>
  <c r="H68" i="2"/>
  <c r="E68" i="2"/>
  <c r="M67" i="2"/>
  <c r="L67" i="2"/>
  <c r="H67" i="2"/>
  <c r="E67" i="2"/>
  <c r="M66" i="2"/>
  <c r="L66" i="2"/>
  <c r="H66" i="2"/>
  <c r="E66" i="2"/>
  <c r="M65" i="2"/>
  <c r="L65" i="2"/>
  <c r="H65" i="2"/>
  <c r="E65" i="2"/>
  <c r="M64" i="2"/>
  <c r="L64" i="2"/>
  <c r="H64" i="2"/>
  <c r="E64" i="2"/>
  <c r="M63" i="2"/>
  <c r="L63" i="2"/>
  <c r="H63" i="2"/>
  <c r="E63" i="2"/>
  <c r="M62" i="2"/>
  <c r="L62" i="2"/>
  <c r="H62" i="2"/>
  <c r="E62" i="2"/>
  <c r="M61" i="2"/>
  <c r="L61" i="2"/>
  <c r="H61" i="2"/>
  <c r="E61" i="2"/>
  <c r="M60" i="2"/>
  <c r="L60" i="2"/>
  <c r="H60" i="2"/>
  <c r="E60" i="2"/>
  <c r="M59" i="2"/>
  <c r="L59" i="2"/>
  <c r="H59" i="2"/>
  <c r="E59" i="2"/>
  <c r="M58" i="2"/>
  <c r="L58" i="2"/>
  <c r="H58" i="2"/>
  <c r="E58" i="2"/>
  <c r="M57" i="2"/>
  <c r="L57" i="2"/>
  <c r="H57" i="2"/>
  <c r="E57" i="2"/>
  <c r="M56" i="2"/>
  <c r="L56" i="2"/>
  <c r="H56" i="2"/>
  <c r="E56" i="2"/>
  <c r="M55" i="2"/>
  <c r="L55" i="2"/>
  <c r="H55" i="2"/>
  <c r="E55" i="2"/>
  <c r="M54" i="2"/>
  <c r="L54" i="2"/>
  <c r="H54" i="2"/>
  <c r="E54" i="2"/>
  <c r="M53" i="2"/>
  <c r="L53" i="2"/>
  <c r="H53" i="2"/>
  <c r="E53" i="2"/>
  <c r="M52" i="2"/>
  <c r="L52" i="2"/>
  <c r="H52" i="2"/>
  <c r="E52" i="2"/>
  <c r="M51" i="2"/>
  <c r="L51" i="2"/>
  <c r="H51" i="2"/>
  <c r="E51" i="2"/>
  <c r="M50" i="2"/>
  <c r="L50" i="2"/>
  <c r="H50" i="2"/>
  <c r="E50" i="2"/>
  <c r="L49" i="2"/>
  <c r="O49" i="2" s="1"/>
  <c r="H49" i="2"/>
  <c r="E49" i="2"/>
  <c r="M48" i="2"/>
  <c r="L48" i="2"/>
  <c r="H48" i="2"/>
  <c r="E48" i="2"/>
  <c r="M47" i="2"/>
  <c r="L47" i="2"/>
  <c r="H47" i="2"/>
  <c r="E47" i="2"/>
  <c r="M46" i="2"/>
  <c r="L46" i="2"/>
  <c r="H46" i="2"/>
  <c r="E46" i="2"/>
  <c r="M45" i="2"/>
  <c r="L45" i="2"/>
  <c r="H45" i="2"/>
  <c r="E45" i="2"/>
  <c r="M44" i="2"/>
  <c r="L44" i="2"/>
  <c r="H44" i="2"/>
  <c r="E44" i="2"/>
  <c r="M43" i="2"/>
  <c r="L43" i="2"/>
  <c r="H43" i="2"/>
  <c r="E43" i="2"/>
  <c r="M42" i="2"/>
  <c r="L42" i="2"/>
  <c r="H42" i="2"/>
  <c r="E42" i="2"/>
  <c r="M41" i="2"/>
  <c r="L41" i="2"/>
  <c r="H41" i="2"/>
  <c r="E41" i="2"/>
  <c r="M40" i="2"/>
  <c r="L40" i="2"/>
  <c r="H40" i="2"/>
  <c r="E40" i="2"/>
  <c r="M39" i="2"/>
  <c r="L39" i="2"/>
  <c r="H39" i="2"/>
  <c r="E39" i="2"/>
  <c r="M38" i="2"/>
  <c r="L38" i="2"/>
  <c r="H38" i="2"/>
  <c r="E38" i="2"/>
  <c r="M37" i="2"/>
  <c r="L37" i="2"/>
  <c r="H37" i="2"/>
  <c r="E37" i="2"/>
  <c r="M85" i="10"/>
  <c r="O85" i="10" s="1"/>
  <c r="H85" i="10"/>
  <c r="E85" i="10"/>
  <c r="M84" i="10"/>
  <c r="O84" i="10" s="1"/>
  <c r="H84" i="10"/>
  <c r="E84" i="10"/>
  <c r="M83" i="10"/>
  <c r="O83" i="10" s="1"/>
  <c r="H83" i="10"/>
  <c r="E83" i="10"/>
  <c r="M82" i="10"/>
  <c r="O82" i="10" s="1"/>
  <c r="H82" i="10"/>
  <c r="E82" i="10"/>
  <c r="M81" i="10"/>
  <c r="O81" i="10" s="1"/>
  <c r="H81" i="10"/>
  <c r="E81" i="10"/>
  <c r="M80" i="10"/>
  <c r="O80" i="10" s="1"/>
  <c r="H80" i="10"/>
  <c r="E80" i="10"/>
  <c r="M79" i="10"/>
  <c r="O79" i="10" s="1"/>
  <c r="H79" i="10"/>
  <c r="E79" i="10"/>
  <c r="M78" i="10"/>
  <c r="O78" i="10" s="1"/>
  <c r="H78" i="10"/>
  <c r="E78" i="10"/>
  <c r="M77" i="10"/>
  <c r="O77" i="10" s="1"/>
  <c r="H77" i="10"/>
  <c r="E77" i="10"/>
  <c r="M76" i="10"/>
  <c r="O76" i="10" s="1"/>
  <c r="H76" i="10"/>
  <c r="E76" i="10"/>
  <c r="M75" i="10"/>
  <c r="O75" i="10" s="1"/>
  <c r="H75" i="10"/>
  <c r="E75" i="10"/>
  <c r="M74" i="10"/>
  <c r="O74" i="10" s="1"/>
  <c r="H74" i="10"/>
  <c r="E74" i="10"/>
  <c r="M73" i="10"/>
  <c r="O73" i="10" s="1"/>
  <c r="H73" i="10"/>
  <c r="E73" i="10"/>
  <c r="M72" i="10"/>
  <c r="O72" i="10" s="1"/>
  <c r="H72" i="10"/>
  <c r="E72" i="10"/>
  <c r="M71" i="10"/>
  <c r="O71" i="10" s="1"/>
  <c r="H71" i="10"/>
  <c r="E71" i="10"/>
  <c r="M70" i="10"/>
  <c r="O70" i="10" s="1"/>
  <c r="H70" i="10"/>
  <c r="E70" i="10"/>
  <c r="M69" i="10"/>
  <c r="O69" i="10" s="1"/>
  <c r="H69" i="10"/>
  <c r="E69" i="10"/>
  <c r="M68" i="10"/>
  <c r="O68" i="10" s="1"/>
  <c r="H68" i="10"/>
  <c r="E68" i="10"/>
  <c r="M67" i="10"/>
  <c r="O67" i="10" s="1"/>
  <c r="H67" i="10"/>
  <c r="E67" i="10"/>
  <c r="M66" i="10"/>
  <c r="O66" i="10" s="1"/>
  <c r="H66" i="10"/>
  <c r="E66" i="10"/>
  <c r="M65" i="10"/>
  <c r="O65" i="10" s="1"/>
  <c r="H65" i="10"/>
  <c r="E65" i="10"/>
  <c r="M64" i="10"/>
  <c r="O64" i="10" s="1"/>
  <c r="H64" i="10"/>
  <c r="E64" i="10"/>
  <c r="M63" i="10"/>
  <c r="O63" i="10" s="1"/>
  <c r="H63" i="10"/>
  <c r="E63" i="10"/>
  <c r="M62" i="10"/>
  <c r="L62" i="10"/>
  <c r="H62" i="10"/>
  <c r="E62" i="10"/>
  <c r="M61" i="10"/>
  <c r="L61" i="10"/>
  <c r="H61" i="10"/>
  <c r="E61" i="10"/>
  <c r="M60" i="10"/>
  <c r="L60" i="10"/>
  <c r="H60" i="10"/>
  <c r="E60" i="10"/>
  <c r="M59" i="10"/>
  <c r="L59" i="10"/>
  <c r="H59" i="10"/>
  <c r="E59" i="10"/>
  <c r="M58" i="10"/>
  <c r="L58" i="10"/>
  <c r="H58" i="10"/>
  <c r="E58" i="10"/>
  <c r="M57" i="10"/>
  <c r="L57" i="10"/>
  <c r="H57" i="10"/>
  <c r="E57" i="10"/>
  <c r="M56" i="10"/>
  <c r="L56" i="10"/>
  <c r="H56" i="10"/>
  <c r="E56" i="10"/>
  <c r="M55" i="10"/>
  <c r="L55" i="10"/>
  <c r="H55" i="10"/>
  <c r="E55" i="10"/>
  <c r="M54" i="10"/>
  <c r="L54" i="10"/>
  <c r="H54" i="10"/>
  <c r="E54" i="10"/>
  <c r="M53" i="10"/>
  <c r="L53" i="10"/>
  <c r="H53" i="10"/>
  <c r="E53" i="10"/>
  <c r="M52" i="10"/>
  <c r="L52" i="10"/>
  <c r="H52" i="10"/>
  <c r="E52" i="10"/>
  <c r="M51" i="10"/>
  <c r="L51" i="10"/>
  <c r="H51" i="10"/>
  <c r="E51" i="10"/>
  <c r="M50" i="10"/>
  <c r="L50" i="10"/>
  <c r="H50" i="10"/>
  <c r="E50" i="10"/>
  <c r="M49" i="10"/>
  <c r="L49" i="10"/>
  <c r="H49" i="10"/>
  <c r="E49" i="10"/>
  <c r="M48" i="10"/>
  <c r="L48" i="10"/>
  <c r="H48" i="10"/>
  <c r="E48" i="10"/>
  <c r="M47" i="10"/>
  <c r="L47" i="10"/>
  <c r="H47" i="10"/>
  <c r="E47" i="10"/>
  <c r="M46" i="10"/>
  <c r="L46" i="10"/>
  <c r="H46" i="10"/>
  <c r="E46" i="10"/>
  <c r="M45" i="10"/>
  <c r="L45" i="10"/>
  <c r="H45" i="10"/>
  <c r="E45" i="10"/>
  <c r="M44" i="10"/>
  <c r="L44" i="10"/>
  <c r="H44" i="10"/>
  <c r="E44" i="10"/>
  <c r="M43" i="10"/>
  <c r="L43" i="10"/>
  <c r="H43" i="10"/>
  <c r="E43" i="10"/>
  <c r="M42" i="10"/>
  <c r="L42" i="10"/>
  <c r="H42" i="10"/>
  <c r="E42" i="10"/>
  <c r="M41" i="10"/>
  <c r="L41" i="10"/>
  <c r="H41" i="10"/>
  <c r="E41" i="10"/>
  <c r="M40" i="10"/>
  <c r="L40" i="10"/>
  <c r="H40" i="10"/>
  <c r="E40" i="10"/>
  <c r="M39" i="10"/>
  <c r="L39" i="10"/>
  <c r="H39" i="10"/>
  <c r="E39" i="10"/>
  <c r="M38" i="10"/>
  <c r="L38" i="10"/>
  <c r="H38" i="10"/>
  <c r="E38" i="10"/>
  <c r="M37" i="10"/>
  <c r="L37" i="10"/>
  <c r="H37" i="10"/>
  <c r="E37" i="10"/>
  <c r="M36" i="10"/>
  <c r="L36" i="10"/>
  <c r="H36" i="10"/>
  <c r="E36" i="10"/>
  <c r="M35" i="10"/>
  <c r="L35" i="10"/>
  <c r="H35" i="10"/>
  <c r="E35" i="10"/>
  <c r="M34" i="10"/>
  <c r="L34" i="10"/>
  <c r="H34" i="10"/>
  <c r="E34" i="10"/>
  <c r="M33" i="10"/>
  <c r="L33" i="10"/>
  <c r="H33" i="10"/>
  <c r="E33" i="10"/>
  <c r="M32" i="10"/>
  <c r="L32" i="10"/>
  <c r="H32" i="10"/>
  <c r="E32" i="10"/>
  <c r="M31" i="10"/>
  <c r="L31" i="10"/>
  <c r="H31" i="10"/>
  <c r="E31" i="10"/>
  <c r="M30" i="10"/>
  <c r="L30" i="10"/>
  <c r="H30" i="10"/>
  <c r="E30" i="10"/>
  <c r="M29" i="10"/>
  <c r="L29" i="10"/>
  <c r="H29" i="10"/>
  <c r="E29" i="10"/>
  <c r="M28" i="10"/>
  <c r="L28" i="10"/>
  <c r="H28" i="10"/>
  <c r="E28" i="10"/>
  <c r="M27" i="10"/>
  <c r="L27" i="10"/>
  <c r="H27" i="10"/>
  <c r="E27" i="10"/>
  <c r="L26" i="10"/>
  <c r="O26" i="10" s="1"/>
  <c r="H26" i="10"/>
  <c r="E26" i="10"/>
  <c r="M25" i="10"/>
  <c r="L25" i="10"/>
  <c r="H25" i="10"/>
  <c r="E25" i="10"/>
  <c r="M24" i="10"/>
  <c r="L24" i="10"/>
  <c r="H24" i="10"/>
  <c r="E24" i="10"/>
  <c r="M23" i="10"/>
  <c r="L23" i="10"/>
  <c r="H23" i="10"/>
  <c r="E23" i="10"/>
  <c r="M22" i="10"/>
  <c r="L22" i="10"/>
  <c r="H22" i="10"/>
  <c r="E22" i="10"/>
  <c r="M21" i="10"/>
  <c r="L21" i="10"/>
  <c r="H21" i="10"/>
  <c r="E21" i="10"/>
  <c r="M20" i="10"/>
  <c r="L20" i="10"/>
  <c r="H20" i="10"/>
  <c r="E20" i="10"/>
  <c r="M19" i="10"/>
  <c r="L19" i="10"/>
  <c r="O19" i="10" s="1"/>
  <c r="H19" i="10"/>
  <c r="E19" i="10"/>
  <c r="M18" i="10"/>
  <c r="L18" i="10"/>
  <c r="H18" i="10"/>
  <c r="E18" i="10"/>
  <c r="M17" i="10"/>
  <c r="L17" i="10"/>
  <c r="H17" i="10"/>
  <c r="E17" i="10"/>
  <c r="M16" i="10"/>
  <c r="L16" i="10"/>
  <c r="H16" i="10"/>
  <c r="E16" i="10"/>
  <c r="M13" i="10"/>
  <c r="L13" i="10"/>
  <c r="O13" i="10" s="1"/>
  <c r="H13" i="10"/>
  <c r="E13" i="10"/>
  <c r="M12" i="10"/>
  <c r="L12" i="10"/>
  <c r="H12" i="10"/>
  <c r="E12" i="10"/>
  <c r="M11" i="10"/>
  <c r="L11" i="10"/>
  <c r="H11" i="10"/>
  <c r="E11" i="10"/>
  <c r="M10" i="10"/>
  <c r="L10" i="10"/>
  <c r="H10" i="10"/>
  <c r="E10" i="10"/>
  <c r="M8" i="10"/>
  <c r="O8" i="10" s="1"/>
  <c r="H8" i="10"/>
  <c r="E8" i="10"/>
  <c r="M3" i="10"/>
  <c r="L3" i="10"/>
  <c r="H3" i="10"/>
  <c r="E3" i="10"/>
  <c r="M133" i="8"/>
  <c r="O133" i="8" s="1"/>
  <c r="H133" i="8"/>
  <c r="E133" i="8"/>
  <c r="M132" i="8"/>
  <c r="O132" i="8" s="1"/>
  <c r="H132" i="8"/>
  <c r="E132" i="8"/>
  <c r="M131" i="8"/>
  <c r="O131" i="8" s="1"/>
  <c r="H131" i="8"/>
  <c r="E131" i="8"/>
  <c r="M130" i="8"/>
  <c r="O130" i="8" s="1"/>
  <c r="H130" i="8"/>
  <c r="E130" i="8"/>
  <c r="M129" i="8"/>
  <c r="O129" i="8" s="1"/>
  <c r="H129" i="8"/>
  <c r="E129" i="8"/>
  <c r="M128" i="8"/>
  <c r="O128" i="8" s="1"/>
  <c r="H128" i="8"/>
  <c r="E128" i="8"/>
  <c r="M127" i="8"/>
  <c r="O127" i="8" s="1"/>
  <c r="H127" i="8"/>
  <c r="E127" i="8"/>
  <c r="M126" i="8"/>
  <c r="O126" i="8" s="1"/>
  <c r="H126" i="8"/>
  <c r="E126" i="8"/>
  <c r="M125" i="8"/>
  <c r="O125" i="8" s="1"/>
  <c r="H125" i="8"/>
  <c r="E125" i="8"/>
  <c r="M124" i="8"/>
  <c r="O124" i="8" s="1"/>
  <c r="H124" i="8"/>
  <c r="E124" i="8"/>
  <c r="M123" i="8"/>
  <c r="O123" i="8" s="1"/>
  <c r="H123" i="8"/>
  <c r="E123" i="8"/>
  <c r="M122" i="8"/>
  <c r="O122" i="8" s="1"/>
  <c r="H122" i="8"/>
  <c r="E122" i="8"/>
  <c r="M121" i="8"/>
  <c r="O121" i="8" s="1"/>
  <c r="H121" i="8"/>
  <c r="E121" i="8"/>
  <c r="M120" i="8"/>
  <c r="O120" i="8" s="1"/>
  <c r="H120" i="8"/>
  <c r="E120" i="8"/>
  <c r="M119" i="8"/>
  <c r="O119" i="8" s="1"/>
  <c r="H119" i="8"/>
  <c r="E119" i="8"/>
  <c r="M118" i="8"/>
  <c r="O118" i="8" s="1"/>
  <c r="H118" i="8"/>
  <c r="E118" i="8"/>
  <c r="M117" i="8"/>
  <c r="O117" i="8" s="1"/>
  <c r="H117" i="8"/>
  <c r="E117" i="8"/>
  <c r="M116" i="8"/>
  <c r="O116" i="8" s="1"/>
  <c r="H116" i="8"/>
  <c r="E116" i="8"/>
  <c r="M115" i="8"/>
  <c r="O115" i="8" s="1"/>
  <c r="H115" i="8"/>
  <c r="E115" i="8"/>
  <c r="M114" i="8"/>
  <c r="O114" i="8" s="1"/>
  <c r="H114" i="8"/>
  <c r="E114" i="8"/>
  <c r="M113" i="8"/>
  <c r="O113" i="8" s="1"/>
  <c r="H113" i="8"/>
  <c r="E113" i="8"/>
  <c r="M112" i="8"/>
  <c r="O112" i="8" s="1"/>
  <c r="H112" i="8"/>
  <c r="E112" i="8"/>
  <c r="M111" i="8"/>
  <c r="O111" i="8" s="1"/>
  <c r="H111" i="8"/>
  <c r="E111" i="8"/>
  <c r="M110" i="8"/>
  <c r="L110" i="8"/>
  <c r="H110" i="8"/>
  <c r="E110" i="8"/>
  <c r="M109" i="8"/>
  <c r="L109" i="8"/>
  <c r="H109" i="8"/>
  <c r="E109" i="8"/>
  <c r="M108" i="8"/>
  <c r="L108" i="8"/>
  <c r="H108" i="8"/>
  <c r="E108" i="8"/>
  <c r="M107" i="8"/>
  <c r="L107" i="8"/>
  <c r="H107" i="8"/>
  <c r="E107" i="8"/>
  <c r="M106" i="8"/>
  <c r="L106" i="8"/>
  <c r="H106" i="8"/>
  <c r="E106" i="8"/>
  <c r="M105" i="8"/>
  <c r="L105" i="8"/>
  <c r="H105" i="8"/>
  <c r="E105" i="8"/>
  <c r="M104" i="8"/>
  <c r="L104" i="8"/>
  <c r="H104" i="8"/>
  <c r="E104" i="8"/>
  <c r="M103" i="8"/>
  <c r="L103" i="8"/>
  <c r="H103" i="8"/>
  <c r="E103" i="8"/>
  <c r="M102" i="8"/>
  <c r="L102" i="8"/>
  <c r="H102" i="8"/>
  <c r="E102" i="8"/>
  <c r="M101" i="8"/>
  <c r="L101" i="8"/>
  <c r="H101" i="8"/>
  <c r="E101" i="8"/>
  <c r="M100" i="8"/>
  <c r="L100" i="8"/>
  <c r="H100" i="8"/>
  <c r="E100" i="8"/>
  <c r="M99" i="8"/>
  <c r="L99" i="8"/>
  <c r="H99" i="8"/>
  <c r="E99" i="8"/>
  <c r="M98" i="8"/>
  <c r="L98" i="8"/>
  <c r="H98" i="8"/>
  <c r="E98" i="8"/>
  <c r="M97" i="8"/>
  <c r="L97" i="8"/>
  <c r="H97" i="8"/>
  <c r="E97" i="8"/>
  <c r="M96" i="8"/>
  <c r="L96" i="8"/>
  <c r="H96" i="8"/>
  <c r="E96" i="8"/>
  <c r="M95" i="8"/>
  <c r="L95" i="8"/>
  <c r="H95" i="8"/>
  <c r="E95" i="8"/>
  <c r="M94" i="8"/>
  <c r="L94" i="8"/>
  <c r="H94" i="8"/>
  <c r="E94" i="8"/>
  <c r="M93" i="8"/>
  <c r="L93" i="8"/>
  <c r="H93" i="8"/>
  <c r="E93" i="8"/>
  <c r="M92" i="8"/>
  <c r="L92" i="8"/>
  <c r="H92" i="8"/>
  <c r="E92" i="8"/>
  <c r="M91" i="8"/>
  <c r="L91" i="8"/>
  <c r="H91" i="8"/>
  <c r="E91" i="8"/>
  <c r="M90" i="8"/>
  <c r="L90" i="8"/>
  <c r="H90" i="8"/>
  <c r="E90" i="8"/>
  <c r="M89" i="8"/>
  <c r="L89" i="8"/>
  <c r="H89" i="8"/>
  <c r="E89" i="8"/>
  <c r="M88" i="8"/>
  <c r="L88" i="8"/>
  <c r="H88" i="8"/>
  <c r="E88" i="8"/>
  <c r="M87" i="8"/>
  <c r="L87" i="8"/>
  <c r="H87" i="8"/>
  <c r="E87" i="8"/>
  <c r="M86" i="8"/>
  <c r="L86" i="8"/>
  <c r="H86" i="8"/>
  <c r="E86" i="8"/>
  <c r="M85" i="8"/>
  <c r="L85" i="8"/>
  <c r="H85" i="8"/>
  <c r="E85" i="8"/>
  <c r="M84" i="8"/>
  <c r="L84" i="8"/>
  <c r="H84" i="8"/>
  <c r="E84" i="8"/>
  <c r="M83" i="8"/>
  <c r="L83" i="8"/>
  <c r="H83" i="8"/>
  <c r="E83" i="8"/>
  <c r="M82" i="8"/>
  <c r="L82" i="8"/>
  <c r="H82" i="8"/>
  <c r="E82" i="8"/>
  <c r="M81" i="8"/>
  <c r="L81" i="8"/>
  <c r="H81" i="8"/>
  <c r="E81" i="8"/>
  <c r="M80" i="8"/>
  <c r="L80" i="8"/>
  <c r="H80" i="8"/>
  <c r="E80" i="8"/>
  <c r="M79" i="8"/>
  <c r="L79" i="8"/>
  <c r="H79" i="8"/>
  <c r="E79" i="8"/>
  <c r="M78" i="8"/>
  <c r="L78" i="8"/>
  <c r="H78" i="8"/>
  <c r="E78" i="8"/>
  <c r="M77" i="8"/>
  <c r="L77" i="8"/>
  <c r="H77" i="8"/>
  <c r="E77" i="8"/>
  <c r="M76" i="8"/>
  <c r="L76" i="8"/>
  <c r="H76" i="8"/>
  <c r="E76" i="8"/>
  <c r="M64" i="8"/>
  <c r="L64" i="8"/>
  <c r="H64" i="8"/>
  <c r="E64" i="8"/>
  <c r="M60" i="8"/>
  <c r="L60" i="8"/>
  <c r="H60" i="8"/>
  <c r="E60" i="8"/>
  <c r="M56" i="8"/>
  <c r="L56" i="8"/>
  <c r="H56" i="8"/>
  <c r="E56" i="8"/>
  <c r="M54" i="8"/>
  <c r="L54" i="8"/>
  <c r="H54" i="8"/>
  <c r="E54" i="8"/>
  <c r="M36" i="8"/>
  <c r="L36" i="8"/>
  <c r="H36" i="8"/>
  <c r="E36" i="8"/>
  <c r="M35" i="8"/>
  <c r="L35" i="8"/>
  <c r="H35" i="8"/>
  <c r="E35" i="8"/>
  <c r="M33" i="8"/>
  <c r="L33" i="8"/>
  <c r="E33" i="8"/>
  <c r="M31" i="8"/>
  <c r="L31" i="8"/>
  <c r="H31" i="8"/>
  <c r="E31" i="8"/>
  <c r="M22" i="8"/>
  <c r="L22" i="8"/>
  <c r="H22" i="8"/>
  <c r="E22" i="8"/>
  <c r="M21" i="8"/>
  <c r="L21" i="8"/>
  <c r="H21" i="8"/>
  <c r="E21" i="8"/>
  <c r="M20" i="8"/>
  <c r="L20" i="8"/>
  <c r="H20" i="8"/>
  <c r="E20" i="8"/>
  <c r="M17" i="8"/>
  <c r="L17" i="8"/>
  <c r="H17" i="8"/>
  <c r="E17" i="8"/>
  <c r="M13" i="8"/>
  <c r="O13" i="8" s="1"/>
  <c r="H13" i="8"/>
  <c r="M4" i="8"/>
  <c r="L4" i="8"/>
  <c r="H4" i="8"/>
  <c r="E4" i="8"/>
  <c r="M133" i="6"/>
  <c r="O133" i="6" s="1"/>
  <c r="H133" i="6"/>
  <c r="E133" i="6"/>
  <c r="M132" i="6"/>
  <c r="O132" i="6" s="1"/>
  <c r="H132" i="6"/>
  <c r="E132" i="6"/>
  <c r="M131" i="6"/>
  <c r="O131" i="6" s="1"/>
  <c r="H131" i="6"/>
  <c r="E131" i="6"/>
  <c r="M130" i="6"/>
  <c r="O130" i="6" s="1"/>
  <c r="H130" i="6"/>
  <c r="E130" i="6"/>
  <c r="M129" i="6"/>
  <c r="O129" i="6" s="1"/>
  <c r="H129" i="6"/>
  <c r="E129" i="6"/>
  <c r="M128" i="6"/>
  <c r="O128" i="6" s="1"/>
  <c r="H128" i="6"/>
  <c r="E128" i="6"/>
  <c r="M127" i="6"/>
  <c r="O127" i="6" s="1"/>
  <c r="H127" i="6"/>
  <c r="E127" i="6"/>
  <c r="M126" i="6"/>
  <c r="O126" i="6" s="1"/>
  <c r="H126" i="6"/>
  <c r="E126" i="6"/>
  <c r="M125" i="6"/>
  <c r="O125" i="6" s="1"/>
  <c r="H125" i="6"/>
  <c r="E125" i="6"/>
  <c r="M124" i="6"/>
  <c r="O124" i="6" s="1"/>
  <c r="H124" i="6"/>
  <c r="E124" i="6"/>
  <c r="M123" i="6"/>
  <c r="O123" i="6" s="1"/>
  <c r="H123" i="6"/>
  <c r="E123" i="6"/>
  <c r="M122" i="6"/>
  <c r="O122" i="6" s="1"/>
  <c r="H122" i="6"/>
  <c r="E122" i="6"/>
  <c r="M121" i="6"/>
  <c r="O121" i="6" s="1"/>
  <c r="H121" i="6"/>
  <c r="E121" i="6"/>
  <c r="M120" i="6"/>
  <c r="O120" i="6" s="1"/>
  <c r="H120" i="6"/>
  <c r="E120" i="6"/>
  <c r="M119" i="6"/>
  <c r="O119" i="6" s="1"/>
  <c r="H119" i="6"/>
  <c r="E119" i="6"/>
  <c r="M118" i="6"/>
  <c r="O118" i="6" s="1"/>
  <c r="H118" i="6"/>
  <c r="E118" i="6"/>
  <c r="M117" i="6"/>
  <c r="O117" i="6" s="1"/>
  <c r="H117" i="6"/>
  <c r="E117" i="6"/>
  <c r="M116" i="6"/>
  <c r="O116" i="6" s="1"/>
  <c r="H116" i="6"/>
  <c r="E116" i="6"/>
  <c r="M115" i="6"/>
  <c r="O115" i="6" s="1"/>
  <c r="H115" i="6"/>
  <c r="E115" i="6"/>
  <c r="M114" i="6"/>
  <c r="O114" i="6" s="1"/>
  <c r="H114" i="6"/>
  <c r="E114" i="6"/>
  <c r="M113" i="6"/>
  <c r="O113" i="6" s="1"/>
  <c r="H113" i="6"/>
  <c r="E113" i="6"/>
  <c r="M112" i="6"/>
  <c r="O112" i="6" s="1"/>
  <c r="H112" i="6"/>
  <c r="E112" i="6"/>
  <c r="M111" i="6"/>
  <c r="O111" i="6" s="1"/>
  <c r="H111" i="6"/>
  <c r="E111" i="6"/>
  <c r="M110" i="6"/>
  <c r="L110" i="6"/>
  <c r="H110" i="6"/>
  <c r="E110" i="6"/>
  <c r="M109" i="6"/>
  <c r="L109" i="6"/>
  <c r="H109" i="6"/>
  <c r="E109" i="6"/>
  <c r="M108" i="6"/>
  <c r="L108" i="6"/>
  <c r="H108" i="6"/>
  <c r="E108" i="6"/>
  <c r="M107" i="6"/>
  <c r="L107" i="6"/>
  <c r="H107" i="6"/>
  <c r="E107" i="6"/>
  <c r="M106" i="6"/>
  <c r="L106" i="6"/>
  <c r="H106" i="6"/>
  <c r="E106" i="6"/>
  <c r="M105" i="6"/>
  <c r="L105" i="6"/>
  <c r="H105" i="6"/>
  <c r="E105" i="6"/>
  <c r="M104" i="6"/>
  <c r="L104" i="6"/>
  <c r="H104" i="6"/>
  <c r="E104" i="6"/>
  <c r="M103" i="6"/>
  <c r="L103" i="6"/>
  <c r="H103" i="6"/>
  <c r="E103" i="6"/>
  <c r="M102" i="6"/>
  <c r="L102" i="6"/>
  <c r="H102" i="6"/>
  <c r="E102" i="6"/>
  <c r="M101" i="6"/>
  <c r="L101" i="6"/>
  <c r="H101" i="6"/>
  <c r="E101" i="6"/>
  <c r="M100" i="6"/>
  <c r="L100" i="6"/>
  <c r="H100" i="6"/>
  <c r="E100" i="6"/>
  <c r="M99" i="6"/>
  <c r="L99" i="6"/>
  <c r="H99" i="6"/>
  <c r="E99" i="6"/>
  <c r="M98" i="6"/>
  <c r="L98" i="6"/>
  <c r="H98" i="6"/>
  <c r="E98" i="6"/>
  <c r="M97" i="6"/>
  <c r="L97" i="6"/>
  <c r="H97" i="6"/>
  <c r="E97" i="6"/>
  <c r="M96" i="6"/>
  <c r="L96" i="6"/>
  <c r="H96" i="6"/>
  <c r="E96" i="6"/>
  <c r="M95" i="6"/>
  <c r="L95" i="6"/>
  <c r="H95" i="6"/>
  <c r="E95" i="6"/>
  <c r="M94" i="6"/>
  <c r="L94" i="6"/>
  <c r="H94" i="6"/>
  <c r="E94" i="6"/>
  <c r="M93" i="6"/>
  <c r="L93" i="6"/>
  <c r="H93" i="6"/>
  <c r="E93" i="6"/>
  <c r="M92" i="6"/>
  <c r="L92" i="6"/>
  <c r="H92" i="6"/>
  <c r="E92" i="6"/>
  <c r="M91" i="6"/>
  <c r="L91" i="6"/>
  <c r="H91" i="6"/>
  <c r="E91" i="6"/>
  <c r="M90" i="6"/>
  <c r="L90" i="6"/>
  <c r="H90" i="6"/>
  <c r="E90" i="6"/>
  <c r="M89" i="6"/>
  <c r="L89" i="6"/>
  <c r="H89" i="6"/>
  <c r="E89" i="6"/>
  <c r="M88" i="6"/>
  <c r="L88" i="6"/>
  <c r="H88" i="6"/>
  <c r="E88" i="6"/>
  <c r="M87" i="6"/>
  <c r="L87" i="6"/>
  <c r="H87" i="6"/>
  <c r="E87" i="6"/>
  <c r="M86" i="6"/>
  <c r="L86" i="6"/>
  <c r="H86" i="6"/>
  <c r="E86" i="6"/>
  <c r="M85" i="6"/>
  <c r="L85" i="6"/>
  <c r="H85" i="6"/>
  <c r="E85" i="6"/>
  <c r="M84" i="6"/>
  <c r="L84" i="6"/>
  <c r="H84" i="6"/>
  <c r="E84" i="6"/>
  <c r="M83" i="6"/>
  <c r="L83" i="6"/>
  <c r="H83" i="6"/>
  <c r="E83" i="6"/>
  <c r="M82" i="6"/>
  <c r="L82" i="6"/>
  <c r="H82" i="6"/>
  <c r="E82" i="6"/>
  <c r="M81" i="6"/>
  <c r="L81" i="6"/>
  <c r="H81" i="6"/>
  <c r="E81" i="6"/>
  <c r="M80" i="6"/>
  <c r="L80" i="6"/>
  <c r="H80" i="6"/>
  <c r="E80" i="6"/>
  <c r="M79" i="6"/>
  <c r="L79" i="6"/>
  <c r="H79" i="6"/>
  <c r="E79" i="6"/>
  <c r="M78" i="6"/>
  <c r="L78" i="6"/>
  <c r="H78" i="6"/>
  <c r="E78" i="6"/>
  <c r="M77" i="6"/>
  <c r="L77" i="6"/>
  <c r="H77" i="6"/>
  <c r="E77" i="6"/>
  <c r="M76" i="6"/>
  <c r="L76" i="6"/>
  <c r="H76" i="6"/>
  <c r="E76" i="6"/>
  <c r="M75" i="6"/>
  <c r="L75" i="6"/>
  <c r="H75" i="6"/>
  <c r="E75" i="6"/>
  <c r="L74" i="6"/>
  <c r="O74" i="6" s="1"/>
  <c r="H74" i="6"/>
  <c r="E74" i="6"/>
  <c r="M72" i="6"/>
  <c r="L72" i="6"/>
  <c r="H72" i="6"/>
  <c r="E72" i="6"/>
  <c r="M71" i="6"/>
  <c r="L71" i="6"/>
  <c r="H71" i="6"/>
  <c r="E71" i="6"/>
  <c r="M53" i="6"/>
  <c r="L53" i="6"/>
  <c r="H53" i="6"/>
  <c r="E53" i="6"/>
  <c r="M41" i="6"/>
  <c r="L41" i="6"/>
  <c r="H41" i="6"/>
  <c r="E41" i="6"/>
  <c r="M39" i="6"/>
  <c r="L39" i="6"/>
  <c r="H39" i="6"/>
  <c r="E39" i="6"/>
  <c r="M29" i="6"/>
  <c r="L29" i="6"/>
  <c r="H29" i="6"/>
  <c r="E29" i="6"/>
  <c r="M17" i="6"/>
  <c r="L17" i="6"/>
  <c r="H17" i="6"/>
  <c r="E17" i="6"/>
  <c r="M16" i="6"/>
  <c r="L16" i="6"/>
  <c r="H16" i="6"/>
  <c r="E16" i="6"/>
  <c r="M15" i="6"/>
  <c r="L15" i="6"/>
  <c r="H15" i="6"/>
  <c r="E15" i="6"/>
  <c r="M13" i="6"/>
  <c r="L13" i="6"/>
  <c r="E13" i="6"/>
  <c r="M10" i="6"/>
  <c r="L10" i="6"/>
  <c r="H10" i="6"/>
  <c r="E10" i="6"/>
  <c r="M9" i="6"/>
  <c r="L9" i="6"/>
  <c r="H9" i="6"/>
  <c r="E9" i="6"/>
  <c r="M8" i="6"/>
  <c r="O8" i="6" s="1"/>
  <c r="E8" i="6"/>
  <c r="L6" i="6"/>
  <c r="E6" i="6"/>
  <c r="H55" i="4"/>
  <c r="H9" i="4"/>
  <c r="H86" i="4"/>
  <c r="L86" i="4"/>
  <c r="M86" i="4"/>
  <c r="M60" i="4"/>
  <c r="L60" i="4"/>
  <c r="O20" i="8" l="1"/>
  <c r="O41" i="2"/>
  <c r="O47" i="2"/>
  <c r="O82" i="2"/>
  <c r="O50" i="2"/>
  <c r="O52" i="2"/>
  <c r="O54" i="2"/>
  <c r="O58" i="2"/>
  <c r="O75" i="2"/>
  <c r="O77" i="2"/>
  <c r="O79" i="2"/>
  <c r="O81" i="2"/>
  <c r="O62" i="2"/>
  <c r="O38" i="2"/>
  <c r="O40" i="2"/>
  <c r="O59" i="2"/>
  <c r="O61" i="2"/>
  <c r="O42" i="2"/>
  <c r="O44" i="2"/>
  <c r="O74" i="2"/>
  <c r="O76" i="2"/>
  <c r="O37" i="2"/>
  <c r="O73" i="2"/>
  <c r="O45" i="2"/>
  <c r="O63" i="2"/>
  <c r="O65" i="2"/>
  <c r="O46" i="2"/>
  <c r="O48" i="2"/>
  <c r="O85" i="2"/>
  <c r="O66" i="2"/>
  <c r="O68" i="2"/>
  <c r="O70" i="2"/>
  <c r="O72" i="2"/>
  <c r="O78" i="2"/>
  <c r="O51" i="2"/>
  <c r="O53" i="2"/>
  <c r="O55" i="2"/>
  <c r="O43" i="2"/>
  <c r="O60" i="2"/>
  <c r="O71" i="2"/>
  <c r="O64" i="2"/>
  <c r="O84" i="2"/>
  <c r="O57" i="2"/>
  <c r="O83" i="2"/>
  <c r="O39" i="2"/>
  <c r="O56" i="2"/>
  <c r="O67" i="2"/>
  <c r="O69" i="2"/>
  <c r="O80" i="2"/>
  <c r="O90" i="8"/>
  <c r="O106" i="8"/>
  <c r="O102" i="6"/>
  <c r="O34" i="10"/>
  <c r="O42" i="10"/>
  <c r="O48" i="10"/>
  <c r="O50" i="10"/>
  <c r="O52" i="10"/>
  <c r="O58" i="10"/>
  <c r="O60" i="10"/>
  <c r="O16" i="10"/>
  <c r="O22" i="10"/>
  <c r="O24" i="10"/>
  <c r="O27" i="10"/>
  <c r="O29" i="10"/>
  <c r="O31" i="10"/>
  <c r="O43" i="10"/>
  <c r="O45" i="10"/>
  <c r="O47" i="10"/>
  <c r="O49" i="10"/>
  <c r="O21" i="10"/>
  <c r="O18" i="10"/>
  <c r="O53" i="10"/>
  <c r="O57" i="10"/>
  <c r="O59" i="10"/>
  <c r="O61" i="10"/>
  <c r="O17" i="10"/>
  <c r="O12" i="10"/>
  <c r="O28" i="10"/>
  <c r="O30" i="10"/>
  <c r="O55" i="10"/>
  <c r="O3" i="10"/>
  <c r="O35" i="10"/>
  <c r="O37" i="10"/>
  <c r="O39" i="10"/>
  <c r="O54" i="10"/>
  <c r="O41" i="10"/>
  <c r="O46" i="10"/>
  <c r="O32" i="10"/>
  <c r="O11" i="10"/>
  <c r="O23" i="10"/>
  <c r="O36" i="10"/>
  <c r="O56" i="10"/>
  <c r="O25" i="10"/>
  <c r="O38" i="10"/>
  <c r="O40" i="10"/>
  <c r="O51" i="10"/>
  <c r="O62" i="10"/>
  <c r="O20" i="10"/>
  <c r="O33" i="10"/>
  <c r="O44" i="10"/>
  <c r="O75" i="6"/>
  <c r="O77" i="6"/>
  <c r="O83" i="6"/>
  <c r="O85" i="6"/>
  <c r="O87" i="6"/>
  <c r="O91" i="6"/>
  <c r="O93" i="6"/>
  <c r="O95" i="6"/>
  <c r="O91" i="8"/>
  <c r="O95" i="8"/>
  <c r="O97" i="8"/>
  <c r="O101" i="8"/>
  <c r="O103" i="8"/>
  <c r="O54" i="8"/>
  <c r="O31" i="8"/>
  <c r="O35" i="8"/>
  <c r="O56" i="8"/>
  <c r="O64" i="8"/>
  <c r="O110" i="8"/>
  <c r="O60" i="8"/>
  <c r="O83" i="8"/>
  <c r="O107" i="8"/>
  <c r="O105" i="8"/>
  <c r="O86" i="8"/>
  <c r="O102" i="8"/>
  <c r="O9" i="6"/>
  <c r="O13" i="6"/>
  <c r="O16" i="6"/>
  <c r="O29" i="6"/>
  <c r="O41" i="6"/>
  <c r="O101" i="6"/>
  <c r="O103" i="6"/>
  <c r="O110" i="6"/>
  <c r="O106" i="6"/>
  <c r="O108" i="6"/>
  <c r="O79" i="6"/>
  <c r="O99" i="6"/>
  <c r="O107" i="6"/>
  <c r="O109" i="6"/>
  <c r="O94" i="6"/>
  <c r="O72" i="6"/>
  <c r="O80" i="6"/>
  <c r="O82" i="6"/>
  <c r="O84" i="6"/>
  <c r="O105" i="6"/>
  <c r="O71" i="6"/>
  <c r="O98" i="6"/>
  <c r="O100" i="6"/>
  <c r="O104" i="6"/>
  <c r="O90" i="6"/>
  <c r="O76" i="6"/>
  <c r="O88" i="6"/>
  <c r="O97" i="6"/>
  <c r="O81" i="6"/>
  <c r="O92" i="6"/>
  <c r="O6" i="6"/>
  <c r="O78" i="6"/>
  <c r="O89" i="6"/>
  <c r="O96" i="6"/>
  <c r="O10" i="6"/>
  <c r="O39" i="6"/>
  <c r="O53" i="6"/>
  <c r="O86" i="6"/>
  <c r="O99" i="8"/>
  <c r="O36" i="8"/>
  <c r="O76" i="8"/>
  <c r="O78" i="8"/>
  <c r="O82" i="8"/>
  <c r="O92" i="8"/>
  <c r="O94" i="8"/>
  <c r="O98" i="8"/>
  <c r="O21" i="8"/>
  <c r="O79" i="8"/>
  <c r="O81" i="8"/>
  <c r="O85" i="8"/>
  <c r="O87" i="8"/>
  <c r="O89" i="8"/>
  <c r="O4" i="8"/>
  <c r="O88" i="8"/>
  <c r="O104" i="8"/>
  <c r="O108" i="8"/>
  <c r="O80" i="8"/>
  <c r="O96" i="8"/>
  <c r="O22" i="8"/>
  <c r="O33" i="8"/>
  <c r="O77" i="8"/>
  <c r="O84" i="8"/>
  <c r="O93" i="8"/>
  <c r="O100" i="8"/>
  <c r="O109" i="8"/>
  <c r="O10" i="10"/>
  <c r="O15" i="6"/>
  <c r="O17" i="6"/>
  <c r="O17" i="8"/>
  <c r="E86" i="4"/>
  <c r="O86" i="4"/>
  <c r="H60" i="4"/>
  <c r="E60" i="4"/>
  <c r="O60" i="4"/>
  <c r="L17" i="4" l="1"/>
  <c r="M17" i="4"/>
  <c r="E17" i="4" l="1"/>
  <c r="O17" i="4"/>
  <c r="H71" i="4"/>
  <c r="L71" i="4"/>
  <c r="H57" i="4"/>
  <c r="L56" i="4"/>
  <c r="L79" i="4"/>
  <c r="M56" i="4"/>
  <c r="L57" i="4"/>
  <c r="M57" i="4"/>
  <c r="M71" i="4"/>
  <c r="M79" i="4"/>
  <c r="H79" i="4" l="1"/>
  <c r="H56" i="4"/>
  <c r="O79" i="4"/>
  <c r="O56" i="4"/>
  <c r="E56" i="4"/>
  <c r="O57" i="4"/>
  <c r="E57" i="4"/>
  <c r="O71" i="4"/>
  <c r="E71" i="4"/>
  <c r="E79" i="4"/>
  <c r="L85" i="4"/>
  <c r="M85" i="4"/>
  <c r="M72" i="4"/>
  <c r="L72" i="4"/>
  <c r="M30" i="4"/>
  <c r="L9" i="4"/>
  <c r="O85" i="4" l="1"/>
  <c r="E72" i="4"/>
  <c r="H85" i="4"/>
  <c r="E85" i="4"/>
  <c r="E30" i="4"/>
  <c r="H72" i="4"/>
  <c r="L30" i="4"/>
  <c r="O30" i="4" s="1"/>
  <c r="O72" i="4"/>
  <c r="H30" i="4"/>
  <c r="M69" i="4" l="1"/>
  <c r="L69" i="4"/>
  <c r="E69" i="4"/>
  <c r="E90" i="4"/>
  <c r="M77" i="4"/>
  <c r="L77" i="4"/>
  <c r="L70" i="4"/>
  <c r="E68" i="4"/>
  <c r="E47" i="4"/>
  <c r="E70" i="4"/>
  <c r="E87" i="4"/>
  <c r="E93" i="4"/>
  <c r="E73" i="4"/>
  <c r="E84" i="4"/>
  <c r="E98" i="4"/>
  <c r="E99" i="4"/>
  <c r="E100" i="4"/>
  <c r="E101" i="4"/>
  <c r="E102" i="4"/>
  <c r="E103" i="4"/>
  <c r="E104" i="4"/>
  <c r="E105" i="4"/>
  <c r="E106" i="4"/>
  <c r="E107" i="4"/>
  <c r="E108" i="4"/>
  <c r="E109" i="4"/>
  <c r="E110" i="4"/>
  <c r="E111" i="4"/>
  <c r="E112" i="4"/>
  <c r="E113" i="4"/>
  <c r="E114" i="4"/>
  <c r="E115" i="4"/>
  <c r="E116" i="4"/>
  <c r="E117" i="4"/>
  <c r="E67" i="4"/>
  <c r="E83" i="4"/>
  <c r="L76" i="4"/>
  <c r="L89" i="4"/>
  <c r="L65" i="4"/>
  <c r="L80" i="4"/>
  <c r="L78" i="4"/>
  <c r="L63" i="4"/>
  <c r="L62" i="4"/>
  <c r="O62" i="4" s="1"/>
  <c r="L67" i="4"/>
  <c r="L83" i="4"/>
  <c r="L91" i="4"/>
  <c r="L95" i="4"/>
  <c r="L58" i="4"/>
  <c r="L50" i="4"/>
  <c r="L55" i="4"/>
  <c r="L81" i="4"/>
  <c r="L96" i="4"/>
  <c r="L88" i="4"/>
  <c r="L92" i="4"/>
  <c r="L82" i="4"/>
  <c r="L61" i="4"/>
  <c r="L97" i="4"/>
  <c r="L74" i="4"/>
  <c r="L59" i="4"/>
  <c r="L66" i="4"/>
  <c r="L64" i="4"/>
  <c r="L75" i="4"/>
  <c r="L94" i="4"/>
  <c r="L68" i="4"/>
  <c r="L47" i="4"/>
  <c r="L87" i="4"/>
  <c r="L93" i="4"/>
  <c r="L73" i="4"/>
  <c r="L84" i="4"/>
  <c r="L98" i="4"/>
  <c r="L24" i="4"/>
  <c r="L90" i="4" l="1"/>
  <c r="O77" i="4"/>
  <c r="H69" i="4"/>
  <c r="O69" i="4"/>
  <c r="H77" i="4"/>
  <c r="E77" i="4"/>
  <c r="E76" i="4"/>
  <c r="E89" i="4"/>
  <c r="E65" i="4"/>
  <c r="E80" i="4"/>
  <c r="E78" i="4"/>
  <c r="E63" i="4"/>
  <c r="E12" i="4"/>
  <c r="E62" i="4"/>
  <c r="E9" i="4"/>
  <c r="E91" i="4"/>
  <c r="E95" i="4"/>
  <c r="E58" i="4"/>
  <c r="E50" i="4"/>
  <c r="E55" i="4"/>
  <c r="E81" i="4"/>
  <c r="E96" i="4"/>
  <c r="E88" i="4"/>
  <c r="E92" i="4"/>
  <c r="E82" i="4"/>
  <c r="E61" i="4"/>
  <c r="E97" i="4"/>
  <c r="E74" i="4"/>
  <c r="E59" i="4"/>
  <c r="E66" i="4"/>
  <c r="E64" i="4"/>
  <c r="E75" i="4"/>
  <c r="M121" i="4" l="1"/>
  <c r="O121" i="4" s="1"/>
  <c r="H121" i="4"/>
  <c r="E121" i="4"/>
  <c r="M120" i="4"/>
  <c r="O120" i="4" s="1"/>
  <c r="H120" i="4"/>
  <c r="E120" i="4"/>
  <c r="M119" i="4"/>
  <c r="O119" i="4" s="1"/>
  <c r="H119" i="4"/>
  <c r="E119" i="4"/>
  <c r="M118" i="4"/>
  <c r="O118" i="4" s="1"/>
  <c r="H118" i="4"/>
  <c r="E118" i="4"/>
  <c r="M117" i="4"/>
  <c r="O117" i="4" s="1"/>
  <c r="H117" i="4"/>
  <c r="M116" i="4"/>
  <c r="O116" i="4" s="1"/>
  <c r="H116" i="4"/>
  <c r="M115" i="4"/>
  <c r="O115" i="4" s="1"/>
  <c r="H115" i="4"/>
  <c r="M114" i="4"/>
  <c r="O114" i="4" s="1"/>
  <c r="H114" i="4"/>
  <c r="M113" i="4"/>
  <c r="O113" i="4" s="1"/>
  <c r="H113" i="4"/>
  <c r="M112" i="4"/>
  <c r="O112" i="4" s="1"/>
  <c r="H112" i="4"/>
  <c r="M111" i="4"/>
  <c r="O111" i="4" s="1"/>
  <c r="H111" i="4"/>
  <c r="M110" i="4"/>
  <c r="O110" i="4" s="1"/>
  <c r="H110" i="4"/>
  <c r="M109" i="4"/>
  <c r="O109" i="4" s="1"/>
  <c r="H109" i="4"/>
  <c r="M108" i="4"/>
  <c r="O108" i="4" s="1"/>
  <c r="H108" i="4"/>
  <c r="M107" i="4"/>
  <c r="O107" i="4" s="1"/>
  <c r="H107" i="4"/>
  <c r="M106" i="4"/>
  <c r="O106" i="4" s="1"/>
  <c r="H106" i="4"/>
  <c r="M105" i="4"/>
  <c r="O105" i="4" s="1"/>
  <c r="H105" i="4"/>
  <c r="M104" i="4"/>
  <c r="O104" i="4" s="1"/>
  <c r="H104" i="4"/>
  <c r="M103" i="4"/>
  <c r="O103" i="4" s="1"/>
  <c r="H103" i="4"/>
  <c r="M102" i="4"/>
  <c r="O102" i="4" s="1"/>
  <c r="H102" i="4"/>
  <c r="M101" i="4"/>
  <c r="O101" i="4" s="1"/>
  <c r="H101" i="4"/>
  <c r="M100" i="4"/>
  <c r="O100" i="4" s="1"/>
  <c r="H100" i="4"/>
  <c r="M99" i="4"/>
  <c r="O99" i="4" s="1"/>
  <c r="H99" i="4"/>
  <c r="M98" i="4"/>
  <c r="O98" i="4" s="1"/>
  <c r="H98" i="4"/>
  <c r="M84" i="4"/>
  <c r="O84" i="4" s="1"/>
  <c r="H84" i="4"/>
  <c r="M73" i="4"/>
  <c r="O73" i="4" s="1"/>
  <c r="H73" i="4"/>
  <c r="M93" i="4"/>
  <c r="O93" i="4" s="1"/>
  <c r="H93" i="4"/>
  <c r="M87" i="4"/>
  <c r="O87" i="4" s="1"/>
  <c r="H87" i="4"/>
  <c r="M70" i="4"/>
  <c r="O70" i="4" s="1"/>
  <c r="H70" i="4"/>
  <c r="M47" i="4"/>
  <c r="O47" i="4" s="1"/>
  <c r="H47" i="4"/>
  <c r="M68" i="4"/>
  <c r="O68" i="4" s="1"/>
  <c r="H68" i="4"/>
  <c r="M94" i="4"/>
  <c r="O94" i="4" s="1"/>
  <c r="H94" i="4"/>
  <c r="E94" i="4"/>
  <c r="M75" i="4"/>
  <c r="O75" i="4" s="1"/>
  <c r="H75" i="4"/>
  <c r="M64" i="4"/>
  <c r="O64" i="4" s="1"/>
  <c r="H64" i="4"/>
  <c r="M66" i="4"/>
  <c r="O66" i="4" s="1"/>
  <c r="H66" i="4"/>
  <c r="M59" i="4"/>
  <c r="O59" i="4" s="1"/>
  <c r="H59" i="4"/>
  <c r="M74" i="4"/>
  <c r="O74" i="4" s="1"/>
  <c r="H74" i="4"/>
  <c r="M97" i="4"/>
  <c r="O97" i="4" s="1"/>
  <c r="H97" i="4"/>
  <c r="M61" i="4"/>
  <c r="O61" i="4" s="1"/>
  <c r="H61" i="4"/>
  <c r="M82" i="4"/>
  <c r="O82" i="4" s="1"/>
  <c r="H82" i="4"/>
  <c r="M92" i="4"/>
  <c r="O92" i="4" s="1"/>
  <c r="H92" i="4"/>
  <c r="M88" i="4"/>
  <c r="O88" i="4" s="1"/>
  <c r="H88" i="4"/>
  <c r="M96" i="4"/>
  <c r="O96" i="4" s="1"/>
  <c r="H96" i="4"/>
  <c r="M81" i="4"/>
  <c r="O81" i="4" s="1"/>
  <c r="H81" i="4"/>
  <c r="M55" i="4"/>
  <c r="O55" i="4" s="1"/>
  <c r="M50" i="4"/>
  <c r="O50" i="4" s="1"/>
  <c r="H50" i="4"/>
  <c r="M58" i="4"/>
  <c r="O58" i="4" s="1"/>
  <c r="H58" i="4"/>
  <c r="M95" i="4"/>
  <c r="O95" i="4" s="1"/>
  <c r="H95" i="4"/>
  <c r="M91" i="4"/>
  <c r="O91" i="4" s="1"/>
  <c r="H91" i="4"/>
  <c r="M83" i="4"/>
  <c r="O83" i="4" s="1"/>
  <c r="H83" i="4"/>
  <c r="M67" i="4"/>
  <c r="O67" i="4" s="1"/>
  <c r="H67" i="4"/>
  <c r="M90" i="4"/>
  <c r="O90" i="4" s="1"/>
  <c r="H90" i="4"/>
  <c r="M9" i="4"/>
  <c r="O9" i="4" s="1"/>
  <c r="H62" i="4"/>
  <c r="M12" i="4"/>
  <c r="O12" i="4" s="1"/>
  <c r="H12" i="4"/>
  <c r="M63" i="4"/>
  <c r="O63" i="4" s="1"/>
  <c r="H63" i="4"/>
  <c r="M78" i="4"/>
  <c r="O78" i="4" s="1"/>
  <c r="H78" i="4"/>
  <c r="M80" i="4"/>
  <c r="O80" i="4" s="1"/>
  <c r="H80" i="4"/>
  <c r="M65" i="4"/>
  <c r="O65" i="4" s="1"/>
  <c r="H65" i="4"/>
  <c r="M89" i="4"/>
  <c r="O89" i="4" s="1"/>
  <c r="H89" i="4"/>
  <c r="M76" i="4"/>
  <c r="O76" i="4" s="1"/>
  <c r="H76" i="4"/>
  <c r="M24" i="4"/>
  <c r="O24" i="4" s="1"/>
  <c r="H24" i="4"/>
  <c r="E24" i="4"/>
</calcChain>
</file>

<file path=xl/sharedStrings.xml><?xml version="1.0" encoding="utf-8"?>
<sst xmlns="http://schemas.openxmlformats.org/spreadsheetml/2006/main" count="321" uniqueCount="247">
  <si>
    <t>Titan Tournaments Points System: Participating = 10pts/ Win = 10pts/ Tie = 5pts/ 3rd place = 20pts/ 2nd place = 40pts/ 1st place = 60pts</t>
  </si>
  <si>
    <t>Wins</t>
  </si>
  <si>
    <t>Losses</t>
  </si>
  <si>
    <t>Ties</t>
  </si>
  <si>
    <t>Win Pct.</t>
  </si>
  <si>
    <t>R.S.</t>
  </si>
  <si>
    <t>R.A.</t>
  </si>
  <si>
    <t>R.D.</t>
  </si>
  <si>
    <t>1st</t>
  </si>
  <si>
    <t>2nd</t>
  </si>
  <si>
    <t>3rd</t>
  </si>
  <si>
    <t>Win Pts</t>
  </si>
  <si>
    <t>Tie Pts</t>
  </si>
  <si>
    <t>Partic.</t>
  </si>
  <si>
    <t>Total Points</t>
  </si>
  <si>
    <t>8U Fastpitch</t>
  </si>
  <si>
    <t>10U Fastpitch</t>
  </si>
  <si>
    <t>12U Fastpitch</t>
  </si>
  <si>
    <t>14U Fastpitch</t>
  </si>
  <si>
    <t>Alpharetta 09</t>
  </si>
  <si>
    <t>Buford 08</t>
  </si>
  <si>
    <t>EC Elite</t>
  </si>
  <si>
    <t>Fireproof</t>
  </si>
  <si>
    <t>Franklin Fastpitch</t>
  </si>
  <si>
    <t>Fury Premier 09</t>
  </si>
  <si>
    <t>GA Thunderbolts</t>
  </si>
  <si>
    <t>GA Vengeance</t>
  </si>
  <si>
    <t>GU Elite</t>
  </si>
  <si>
    <t>Home Plate Havoc</t>
  </si>
  <si>
    <t>N GA Force</t>
  </si>
  <si>
    <t>Rhyne Park</t>
  </si>
  <si>
    <t>Sandy Springs</t>
  </si>
  <si>
    <t>Shock FP Gwinnett</t>
  </si>
  <si>
    <t>Southern Fire</t>
  </si>
  <si>
    <t>Diamond Dawgs</t>
  </si>
  <si>
    <t>Express Sawyer</t>
  </si>
  <si>
    <t>GA Prime - Thomas</t>
  </si>
  <si>
    <t>Lady Ambush 2K12</t>
  </si>
  <si>
    <t>Platinum Elite</t>
  </si>
  <si>
    <t>Suwanee Fastpitch</t>
  </si>
  <si>
    <t>Team GA 2012</t>
  </si>
  <si>
    <t>CG Legacy Beck</t>
  </si>
  <si>
    <t>ATL Flames Rosenkoff</t>
  </si>
  <si>
    <t>Ball Busters</t>
  </si>
  <si>
    <t>Bandits</t>
  </si>
  <si>
    <t>Buford Bombers</t>
  </si>
  <si>
    <t>Buford FP</t>
  </si>
  <si>
    <t>Bulletproof</t>
  </si>
  <si>
    <t>CG Legacy Gravitt</t>
  </si>
  <si>
    <t>GA Blaze</t>
  </si>
  <si>
    <t>Home Plate Stars</t>
  </si>
  <si>
    <t>Premier FP K/P</t>
  </si>
  <si>
    <t>Raptors</t>
  </si>
  <si>
    <t>Oconee Aces</t>
  </si>
  <si>
    <t>EC Bullets Perry</t>
  </si>
  <si>
    <t>GA Classics Mocahbee</t>
  </si>
  <si>
    <t>Prospex</t>
  </si>
  <si>
    <t>Tribe 2012</t>
  </si>
  <si>
    <t>CRSA Yarddogs</t>
  </si>
  <si>
    <t>Atlanta Crush 10U</t>
  </si>
  <si>
    <t>Alpharetta 07</t>
  </si>
  <si>
    <t>GA Thunderbolts 2026</t>
  </si>
  <si>
    <t>N GA Girls</t>
  </si>
  <si>
    <t>North GA Rage</t>
  </si>
  <si>
    <t>Outlawz</t>
  </si>
  <si>
    <t>RVA Warriors</t>
  </si>
  <si>
    <t>Alpharetta Fire Hutchins</t>
  </si>
  <si>
    <t>GA Classics Beauchamp</t>
  </si>
  <si>
    <t>Firecrackers Haynes</t>
  </si>
  <si>
    <t>GA Shock</t>
  </si>
  <si>
    <t>Buford Elite - King</t>
  </si>
  <si>
    <t>Walton Scrappers 2011</t>
  </si>
  <si>
    <t>Dirty South</t>
  </si>
  <si>
    <t>Frost Falcons 2011</t>
  </si>
  <si>
    <t>5 Star Zorn</t>
  </si>
  <si>
    <t>N GA Wolfpack Rooks</t>
  </si>
  <si>
    <t>Home Plate Prime</t>
  </si>
  <si>
    <t>North GA Girls</t>
  </si>
  <si>
    <t>Team Bullpen 2013</t>
  </si>
  <si>
    <t>N GA Wolfpack 2013</t>
  </si>
  <si>
    <t>SE Heat Byars</t>
  </si>
  <si>
    <t>GA Impact Reece</t>
  </si>
  <si>
    <t>Gwinnett Bomb Squad</t>
  </si>
  <si>
    <t>N GA Force Oconee</t>
  </si>
  <si>
    <t>Velo Factory</t>
  </si>
  <si>
    <t>Lady Xplosives</t>
  </si>
  <si>
    <t>GA Thunderbolts Mullis</t>
  </si>
  <si>
    <t>Lady Dukes Wilson</t>
  </si>
  <si>
    <t>SE Heat 14u</t>
  </si>
  <si>
    <t>GA Fury Platinum Fisher</t>
  </si>
  <si>
    <t>EC Bullets P/W</t>
  </si>
  <si>
    <t>Westminster Tribe</t>
  </si>
  <si>
    <t>Shock</t>
  </si>
  <si>
    <t>Mountain Elite</t>
  </si>
  <si>
    <t>West GA Knockouts</t>
  </si>
  <si>
    <t>Midway Thunder</t>
  </si>
  <si>
    <t>GA Classics</t>
  </si>
  <si>
    <t>North GA Force</t>
  </si>
  <si>
    <t>Ambush - Waugh</t>
  </si>
  <si>
    <t>Alpharetta Fire 2010</t>
  </si>
  <si>
    <t>GAP 2010</t>
  </si>
  <si>
    <t>SS Bombers</t>
  </si>
  <si>
    <t>AP Rose 2010</t>
  </si>
  <si>
    <t>MFS</t>
  </si>
  <si>
    <t>GA Diamonds</t>
  </si>
  <si>
    <t>North Georgia Freedom</t>
  </si>
  <si>
    <t>PTC Pride Elite</t>
  </si>
  <si>
    <t>Diamond Divas</t>
  </si>
  <si>
    <t>GA Ambush</t>
  </si>
  <si>
    <t>GA Bandits</t>
  </si>
  <si>
    <t>Xtreme Chaos</t>
  </si>
  <si>
    <t>16/18U Fastpitch</t>
  </si>
  <si>
    <t>Apex United Wave</t>
  </si>
  <si>
    <t>Shock FP N GA 08</t>
  </si>
  <si>
    <t>AP Luera/Frasier</t>
  </si>
  <si>
    <t>Elite Pride</t>
  </si>
  <si>
    <t>GA United Elite Gold</t>
  </si>
  <si>
    <t>CSRA Yarddog Frails</t>
  </si>
  <si>
    <t>Cherokee Crush</t>
  </si>
  <si>
    <t>GA Bombers Cochran</t>
  </si>
  <si>
    <t>Rhyne Park Renegades</t>
  </si>
  <si>
    <t>GA Prime Jackson</t>
  </si>
  <si>
    <t>GA Power 2011</t>
  </si>
  <si>
    <t>FCA Lady Braves</t>
  </si>
  <si>
    <t>West Cobb Extreme</t>
  </si>
  <si>
    <t>Lady Dukes Ellington</t>
  </si>
  <si>
    <t>East Cobb Edge Essex</t>
  </si>
  <si>
    <t>North Georgia Wolfpack 09</t>
  </si>
  <si>
    <t>Sandy Springs Thrashers</t>
  </si>
  <si>
    <t>Slam</t>
  </si>
  <si>
    <t>Southern Select 2026</t>
  </si>
  <si>
    <t>West Cobb Extreme 08</t>
  </si>
  <si>
    <t>GA Prime P/C</t>
  </si>
  <si>
    <t>Team GA 2011</t>
  </si>
  <si>
    <t>LC Smash</t>
  </si>
  <si>
    <t>Top Notch</t>
  </si>
  <si>
    <t>Inferno</t>
  </si>
  <si>
    <t>Lady Royals</t>
  </si>
  <si>
    <t>Team SC Jennings</t>
  </si>
  <si>
    <t>Warrior Fastpitch</t>
  </si>
  <si>
    <t>N GA Force Chosewood</t>
  </si>
  <si>
    <t>GA Thunder Walden</t>
  </si>
  <si>
    <t>Express FP Stephenson</t>
  </si>
  <si>
    <t>GA Classics - Asselin</t>
  </si>
  <si>
    <t>GA Prime - Spamer</t>
  </si>
  <si>
    <t>GA Classics - Gillespie</t>
  </si>
  <si>
    <t>GA Threat</t>
  </si>
  <si>
    <t>Ambush - Wilder</t>
  </si>
  <si>
    <t>DSO</t>
  </si>
  <si>
    <t>Lady Panthers</t>
  </si>
  <si>
    <t>CG Legacy 2014</t>
  </si>
  <si>
    <t>Lady Dukes Wooley</t>
  </si>
  <si>
    <t>Decatur Venom</t>
  </si>
  <si>
    <t>Lady South</t>
  </si>
  <si>
    <t>Platinum Elite 2K12</t>
  </si>
  <si>
    <t>EC Bullets</t>
  </si>
  <si>
    <t>GA Prime - Traylor</t>
  </si>
  <si>
    <t>Apex United</t>
  </si>
  <si>
    <t>AP Belfanti</t>
  </si>
  <si>
    <t>AP RC</t>
  </si>
  <si>
    <t>Phoenix Fire</t>
  </si>
  <si>
    <t>AP Rogers 09</t>
  </si>
  <si>
    <t>GA Power 09</t>
  </si>
  <si>
    <t>SS Spartans</t>
  </si>
  <si>
    <t>North GA Lightning</t>
  </si>
  <si>
    <t>SS Blue Bombers</t>
  </si>
  <si>
    <t>Atlanta Crush</t>
  </si>
  <si>
    <t>West Cobb 10</t>
  </si>
  <si>
    <t>GA Power - Chapman</t>
  </si>
  <si>
    <t>GA Thunder-Hill</t>
  </si>
  <si>
    <t>Sharon Springs</t>
  </si>
  <si>
    <t>CP Lady Bulldogs</t>
  </si>
  <si>
    <t>Beehive</t>
  </si>
  <si>
    <t>7I Lady Royals Nydam</t>
  </si>
  <si>
    <t>GA Classics 08</t>
  </si>
  <si>
    <t>DTS Diamonds</t>
  </si>
  <si>
    <t>Grayson Select</t>
  </si>
  <si>
    <t>MoCo Titans</t>
  </si>
  <si>
    <t>Lumpkin Elite</t>
  </si>
  <si>
    <t>Lady Bears</t>
  </si>
  <si>
    <t>Oconee Smoke</t>
  </si>
  <si>
    <t>Warcats</t>
  </si>
  <si>
    <t>Peach State Power</t>
  </si>
  <si>
    <t>Next Level</t>
  </si>
  <si>
    <t>Firecrackers 2K12</t>
  </si>
  <si>
    <t>GA Power - Bocchicchio</t>
  </si>
  <si>
    <t>EC Bullets 2030</t>
  </si>
  <si>
    <t>`</t>
  </si>
  <si>
    <t>EC Bullets Mason</t>
  </si>
  <si>
    <t>West Cobb Extreme - Milton</t>
  </si>
  <si>
    <t>GA Impact Johnson</t>
  </si>
  <si>
    <t>Shock 12U</t>
  </si>
  <si>
    <t>ATL Patriots Rawls</t>
  </si>
  <si>
    <t>Barrow Swarm</t>
  </si>
  <si>
    <t>Misfits</t>
  </si>
  <si>
    <t>Lady Dukes Ward</t>
  </si>
  <si>
    <t>South GA Lightning</t>
  </si>
  <si>
    <t>Warriors</t>
  </si>
  <si>
    <t>Team Nitro</t>
  </si>
  <si>
    <t>GA Crush - Adams</t>
  </si>
  <si>
    <t>Dawson Diamonds</t>
  </si>
  <si>
    <t>Hustle Factory</t>
  </si>
  <si>
    <t>Outsiders</t>
  </si>
  <si>
    <t>TRIBE</t>
  </si>
  <si>
    <t>Swarm FP 08</t>
  </si>
  <si>
    <t>GA Crush 2014</t>
  </si>
  <si>
    <t>Coal Mountain</t>
  </si>
  <si>
    <t>Midway Troublemakers</t>
  </si>
  <si>
    <t>CP Bulldogs</t>
  </si>
  <si>
    <t>Team Bullpen 2012</t>
  </si>
  <si>
    <t>GA Bombers</t>
  </si>
  <si>
    <t>GA Impact 2012</t>
  </si>
  <si>
    <t>Team GA Greenwood</t>
  </si>
  <si>
    <t>Shock Heard</t>
  </si>
  <si>
    <t>South Pro Patriots</t>
  </si>
  <si>
    <t>Shock FP Oconee</t>
  </si>
  <si>
    <t>NYO United</t>
  </si>
  <si>
    <t>Atlanta Premier Rose</t>
  </si>
  <si>
    <t>Alpharetta Blue</t>
  </si>
  <si>
    <t>Sawnee Mtn</t>
  </si>
  <si>
    <t>Lady Tigers</t>
  </si>
  <si>
    <t>CM All Stars</t>
  </si>
  <si>
    <t>Vixen Softball</t>
  </si>
  <si>
    <t>Twisters Blue</t>
  </si>
  <si>
    <t>2014 Middle GA Elite</t>
  </si>
  <si>
    <t>Blue Sox</t>
  </si>
  <si>
    <t>Georgia Crush Adams</t>
  </si>
  <si>
    <t>East Cobb Edge</t>
  </si>
  <si>
    <t>Sandy Springs Storm</t>
  </si>
  <si>
    <t>Brawlers</t>
  </si>
  <si>
    <t>EC Bullets Baker</t>
  </si>
  <si>
    <t>SS Elite</t>
  </si>
  <si>
    <t>Poison 08</t>
  </si>
  <si>
    <t>Team Fury</t>
  </si>
  <si>
    <t>N GA Elite</t>
  </si>
  <si>
    <t>Firecrackers Roy</t>
  </si>
  <si>
    <t>Attack Gold</t>
  </si>
  <si>
    <t>MC Black Cobras</t>
  </si>
  <si>
    <t>GA Thunder 2014</t>
  </si>
  <si>
    <t>PC Peaches</t>
  </si>
  <si>
    <t>NYO Liberty</t>
  </si>
  <si>
    <t>Buford Platinum</t>
  </si>
  <si>
    <t>Buford Wolves</t>
  </si>
  <si>
    <t>MC Purple Cobras</t>
  </si>
  <si>
    <t>Lady Daredevils</t>
  </si>
  <si>
    <t>AYSA Attack Gold</t>
  </si>
  <si>
    <t>GA Vengeance Waters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</si>
</sst>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2" borderId="0" xfId="0" applyFill="1"/>
    <xf numFmtId="10" fontId="0" fillId="0" borderId="0" xfId="0" applyNumberFormat="1"/>
    <xf numFmtId="0" fontId="1" fillId="0" borderId="0" xfId="0" applyFont="1"/>
    <xf numFmtId="0" fontId="0" fillId="3" borderId="0" xfId="0" applyFill="1"/>
    <xf numFmtId="10" fontId="0" fillId="3" borderId="0" xfId="0" applyNumberFormat="1" applyFill="1"/>
    <xf numFmtId="0" fontId="1" fillId="3" borderId="0" xfId="0" applyFont="1" applyFill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108"/>
  <sheetViews>
    <sheetView workbookViewId="0">
      <selection activeCell="H14" sqref="H14"/>
    </sheetView>
  </sheetViews>
  <sheetFormatPr defaultRowHeight="15" x14ac:dyDescent="0.25"/>
  <cols>
    <col min="1" max="1" width="26.85546875" style="3" customWidth="1"/>
  </cols>
  <sheetData>
    <row r="1" spans="1:27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x14ac:dyDescent="0.25">
      <c r="A2" s="1" t="s">
        <v>15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P2" s="1"/>
    </row>
    <row r="3" spans="1:27" x14ac:dyDescent="0.25">
      <c r="A3" s="3" t="s">
        <v>74</v>
      </c>
      <c r="B3">
        <f>1+1+1</f>
        <v>3</v>
      </c>
      <c r="C3">
        <f>1+1+1+1+1+1</f>
        <v>6</v>
      </c>
      <c r="E3" s="2">
        <f t="shared" ref="E3:E5" si="0">(B3)/(B3+C3+D3)</f>
        <v>0.33333333333333331</v>
      </c>
      <c r="F3">
        <f>8+7+13+1+15+14+22+15+1</f>
        <v>96</v>
      </c>
      <c r="G3">
        <f>12+14+15+16+24+9+5+3+13</f>
        <v>111</v>
      </c>
      <c r="H3">
        <f t="shared" ref="H3:H5" si="1">F3-G3</f>
        <v>-15</v>
      </c>
      <c r="J3">
        <f>40</f>
        <v>40</v>
      </c>
      <c r="K3">
        <f>20</f>
        <v>20</v>
      </c>
      <c r="L3">
        <f t="shared" ref="L3:L5" si="2">B3*10</f>
        <v>30</v>
      </c>
      <c r="M3">
        <f t="shared" ref="M3:M5" si="3">D3*5</f>
        <v>0</v>
      </c>
      <c r="N3">
        <f>10+10</f>
        <v>20</v>
      </c>
      <c r="O3">
        <f t="shared" ref="O3" si="4">SUM(I3:N3)</f>
        <v>110</v>
      </c>
    </row>
    <row r="4" spans="1:27" x14ac:dyDescent="0.25">
      <c r="A4" s="3" t="s">
        <v>224</v>
      </c>
      <c r="B4">
        <f>1+1+1+1+1+1+1</f>
        <v>7</v>
      </c>
      <c r="C4">
        <f>1+1+1</f>
        <v>3</v>
      </c>
      <c r="E4" s="2">
        <f t="shared" si="0"/>
        <v>0.7</v>
      </c>
      <c r="F4">
        <f>16+21+18+13+20+14+17+3+4+2</f>
        <v>128</v>
      </c>
      <c r="G4">
        <f>3+1+5+12+0+2+4+13+10+12</f>
        <v>62</v>
      </c>
      <c r="H4">
        <f t="shared" si="1"/>
        <v>66</v>
      </c>
      <c r="I4">
        <f>60</f>
        <v>60</v>
      </c>
      <c r="L4">
        <f t="shared" si="2"/>
        <v>70</v>
      </c>
      <c r="M4">
        <f t="shared" si="3"/>
        <v>0</v>
      </c>
      <c r="N4">
        <f>10+10</f>
        <v>20</v>
      </c>
      <c r="O4">
        <f t="shared" ref="O4" si="5">SUM(I4:N4)</f>
        <v>150</v>
      </c>
    </row>
    <row r="5" spans="1:27" x14ac:dyDescent="0.25">
      <c r="A5" s="3" t="s">
        <v>218</v>
      </c>
      <c r="B5">
        <f>1+1+1</f>
        <v>3</v>
      </c>
      <c r="C5">
        <f>1+1</f>
        <v>2</v>
      </c>
      <c r="E5" s="2">
        <f t="shared" si="0"/>
        <v>0.6</v>
      </c>
      <c r="F5">
        <f>6+6+17+16+9</f>
        <v>54</v>
      </c>
      <c r="G5">
        <f>16+15+4+1+8</f>
        <v>44</v>
      </c>
      <c r="H5">
        <f t="shared" si="1"/>
        <v>10</v>
      </c>
      <c r="I5">
        <f>60</f>
        <v>60</v>
      </c>
      <c r="L5">
        <f t="shared" si="2"/>
        <v>30</v>
      </c>
      <c r="M5">
        <f t="shared" si="3"/>
        <v>0</v>
      </c>
      <c r="N5">
        <f>10</f>
        <v>10</v>
      </c>
      <c r="O5">
        <f t="shared" ref="O5" si="6">SUM(I5:N5)</f>
        <v>100</v>
      </c>
    </row>
    <row r="6" spans="1:27" x14ac:dyDescent="0.25">
      <c r="A6" s="3" t="s">
        <v>147</v>
      </c>
      <c r="B6">
        <f>1</f>
        <v>1</v>
      </c>
      <c r="C6">
        <f>1+1+1+1+1+1+1+1+1+1</f>
        <v>10</v>
      </c>
      <c r="E6" s="2">
        <f t="shared" ref="E6:E12" si="7">(B6)/(B6+C6+D6)</f>
        <v>9.0909090909090912E-2</v>
      </c>
      <c r="F6">
        <f>3+2+6+7+3+0+5+8+7+6+4</f>
        <v>51</v>
      </c>
      <c r="G6">
        <f>14+24+15+18+8+16+22+4+14+15+14</f>
        <v>164</v>
      </c>
      <c r="H6">
        <f t="shared" ref="H6:H12" si="8">F6-G6</f>
        <v>-113</v>
      </c>
      <c r="K6">
        <f>20</f>
        <v>20</v>
      </c>
      <c r="L6">
        <f t="shared" ref="L6:L12" si="9">B6*10</f>
        <v>10</v>
      </c>
      <c r="M6">
        <f t="shared" ref="M6:M12" si="10">D6*5</f>
        <v>0</v>
      </c>
      <c r="N6">
        <f>10+10+10</f>
        <v>30</v>
      </c>
      <c r="O6">
        <f t="shared" ref="O6:O11" si="11">SUM(I6:N6)</f>
        <v>60</v>
      </c>
    </row>
    <row r="7" spans="1:27" x14ac:dyDescent="0.25">
      <c r="A7" s="3" t="s">
        <v>236</v>
      </c>
      <c r="B7">
        <f>1+1+1+1+1</f>
        <v>5</v>
      </c>
      <c r="C7">
        <f>1+1</f>
        <v>2</v>
      </c>
      <c r="E7" s="2">
        <f t="shared" ref="E7" si="12">(B7)/(B7+C7+D7)</f>
        <v>0.7142857142857143</v>
      </c>
      <c r="F7">
        <f>1+9+0+15+14+11+12</f>
        <v>62</v>
      </c>
      <c r="G7">
        <f>9+3+14+0+5+3+0</f>
        <v>34</v>
      </c>
      <c r="H7">
        <f t="shared" ref="H7" si="13">F7-G7</f>
        <v>28</v>
      </c>
      <c r="I7">
        <f>60</f>
        <v>60</v>
      </c>
      <c r="L7">
        <f t="shared" ref="L7" si="14">B7*10</f>
        <v>50</v>
      </c>
      <c r="M7">
        <f t="shared" ref="M7" si="15">D7*5</f>
        <v>0</v>
      </c>
      <c r="N7">
        <f>10</f>
        <v>10</v>
      </c>
      <c r="O7">
        <f t="shared" ref="O7" si="16">SUM(I7:N7)</f>
        <v>120</v>
      </c>
    </row>
    <row r="8" spans="1:27" x14ac:dyDescent="0.25">
      <c r="A8" s="3" t="s">
        <v>150</v>
      </c>
      <c r="B8">
        <f>1+1+1+1+1+1+1+1</f>
        <v>8</v>
      </c>
      <c r="C8">
        <f>1</f>
        <v>1</v>
      </c>
      <c r="E8" s="2">
        <f t="shared" si="7"/>
        <v>0.88888888888888884</v>
      </c>
      <c r="F8">
        <f>21+24+19+7+26+20+16+20+12</f>
        <v>165</v>
      </c>
      <c r="G8">
        <f>0+6+3+8+0+1+0+4+11</f>
        <v>33</v>
      </c>
      <c r="H8">
        <f t="shared" si="8"/>
        <v>132</v>
      </c>
      <c r="I8">
        <f>60</f>
        <v>60</v>
      </c>
      <c r="J8">
        <f>40</f>
        <v>40</v>
      </c>
      <c r="L8">
        <f t="shared" si="9"/>
        <v>80</v>
      </c>
      <c r="M8">
        <f t="shared" si="10"/>
        <v>0</v>
      </c>
      <c r="N8">
        <f>10+10</f>
        <v>20</v>
      </c>
      <c r="O8">
        <f t="shared" si="11"/>
        <v>200</v>
      </c>
    </row>
    <row r="9" spans="1:27" x14ac:dyDescent="0.25">
      <c r="A9" s="3" t="s">
        <v>221</v>
      </c>
      <c r="B9">
        <f>1+1+1+1</f>
        <v>4</v>
      </c>
      <c r="C9">
        <f>1+1+1+1+1+1+1</f>
        <v>7</v>
      </c>
      <c r="E9" s="2">
        <f t="shared" si="7"/>
        <v>0.36363636363636365</v>
      </c>
      <c r="F9">
        <f>11+15+13+18+12+0+3+2+17+3+2</f>
        <v>96</v>
      </c>
      <c r="G9">
        <f>12+6+3+9+13+15+9+11+2+11+7</f>
        <v>98</v>
      </c>
      <c r="H9">
        <f t="shared" si="8"/>
        <v>-2</v>
      </c>
      <c r="K9">
        <f>20+20</f>
        <v>40</v>
      </c>
      <c r="L9">
        <f t="shared" si="9"/>
        <v>40</v>
      </c>
      <c r="M9">
        <f t="shared" si="10"/>
        <v>0</v>
      </c>
      <c r="N9">
        <f>10+10</f>
        <v>20</v>
      </c>
      <c r="O9">
        <f t="shared" si="11"/>
        <v>100</v>
      </c>
    </row>
    <row r="10" spans="1:27" x14ac:dyDescent="0.25">
      <c r="A10" s="3" t="s">
        <v>206</v>
      </c>
      <c r="B10">
        <f>1+1+1</f>
        <v>3</v>
      </c>
      <c r="C10">
        <f>1+1</f>
        <v>2</v>
      </c>
      <c r="E10" s="2">
        <f t="shared" si="7"/>
        <v>0.6</v>
      </c>
      <c r="F10">
        <f>10+9+19+1+20</f>
        <v>59</v>
      </c>
      <c r="G10">
        <f>12+8+10+13+4</f>
        <v>47</v>
      </c>
      <c r="H10">
        <f t="shared" si="8"/>
        <v>12</v>
      </c>
      <c r="L10">
        <f t="shared" si="9"/>
        <v>30</v>
      </c>
      <c r="M10">
        <f t="shared" si="10"/>
        <v>0</v>
      </c>
      <c r="N10">
        <f>10</f>
        <v>10</v>
      </c>
      <c r="O10">
        <f t="shared" si="11"/>
        <v>40</v>
      </c>
    </row>
    <row r="11" spans="1:27" x14ac:dyDescent="0.25">
      <c r="A11" s="3" t="s">
        <v>200</v>
      </c>
      <c r="C11">
        <f>1+1+1</f>
        <v>3</v>
      </c>
      <c r="D11">
        <f>1</f>
        <v>1</v>
      </c>
      <c r="E11" s="2">
        <f t="shared" si="7"/>
        <v>0</v>
      </c>
      <c r="F11">
        <f>6+11+7+9</f>
        <v>33</v>
      </c>
      <c r="G11">
        <f>13+11+17+19</f>
        <v>60</v>
      </c>
      <c r="H11">
        <f t="shared" si="8"/>
        <v>-27</v>
      </c>
      <c r="K11">
        <f>20</f>
        <v>20</v>
      </c>
      <c r="L11">
        <f t="shared" si="9"/>
        <v>0</v>
      </c>
      <c r="M11">
        <f t="shared" si="10"/>
        <v>5</v>
      </c>
      <c r="N11">
        <f>10</f>
        <v>10</v>
      </c>
      <c r="O11">
        <f t="shared" si="11"/>
        <v>35</v>
      </c>
    </row>
    <row r="12" spans="1:27" x14ac:dyDescent="0.25">
      <c r="A12" s="3" t="s">
        <v>34</v>
      </c>
      <c r="B12">
        <f>1</f>
        <v>1</v>
      </c>
      <c r="C12">
        <f>1+1+1+1+1</f>
        <v>5</v>
      </c>
      <c r="E12" s="2">
        <f t="shared" si="7"/>
        <v>0.16666666666666666</v>
      </c>
      <c r="F12">
        <f>0+8+3+0+17+7</f>
        <v>35</v>
      </c>
      <c r="G12">
        <f>15+13+12+15+6+17</f>
        <v>78</v>
      </c>
      <c r="H12">
        <f t="shared" si="8"/>
        <v>-43</v>
      </c>
      <c r="L12">
        <f t="shared" si="9"/>
        <v>10</v>
      </c>
      <c r="M12">
        <f t="shared" si="10"/>
        <v>0</v>
      </c>
      <c r="N12">
        <f>10</f>
        <v>10</v>
      </c>
      <c r="O12">
        <f t="shared" ref="O12" si="17">SUM(I12:N12)</f>
        <v>20</v>
      </c>
    </row>
    <row r="13" spans="1:27" x14ac:dyDescent="0.25">
      <c r="A13" s="3" t="s">
        <v>107</v>
      </c>
      <c r="B13">
        <f>1+1+1</f>
        <v>3</v>
      </c>
      <c r="C13">
        <f>1+1+1+1+1+1+1</f>
        <v>7</v>
      </c>
      <c r="D13">
        <f>1</f>
        <v>1</v>
      </c>
      <c r="E13" s="2">
        <f t="shared" ref="E13:E15" si="18">(B13)/(B13+C13+D13)</f>
        <v>0.27272727272727271</v>
      </c>
      <c r="F13">
        <f>0+6+13+1+14+0+6+1+1+0+9</f>
        <v>51</v>
      </c>
      <c r="G13">
        <f>13+5+9+16+3+21+24+16+24+14+9</f>
        <v>154</v>
      </c>
      <c r="H13">
        <f t="shared" ref="H13:H15" si="19">F13-G13</f>
        <v>-103</v>
      </c>
      <c r="J13">
        <f>40</f>
        <v>40</v>
      </c>
      <c r="L13">
        <f t="shared" ref="L13:L15" si="20">B13*10</f>
        <v>30</v>
      </c>
      <c r="M13">
        <f t="shared" ref="M13:M15" si="21">D13*5</f>
        <v>5</v>
      </c>
      <c r="N13">
        <f>10+10+10</f>
        <v>30</v>
      </c>
      <c r="O13">
        <f t="shared" ref="O13:O14" si="22">SUM(I13:N13)</f>
        <v>105</v>
      </c>
    </row>
    <row r="14" spans="1:27" x14ac:dyDescent="0.25">
      <c r="A14" s="3" t="s">
        <v>148</v>
      </c>
      <c r="B14">
        <f>1+1+1+1+1+1+1+1+1+1+1</f>
        <v>11</v>
      </c>
      <c r="C14">
        <f>1+1+1+1+1+1+1+1+1+1+1+1+1+1+1+1</f>
        <v>16</v>
      </c>
      <c r="D14">
        <f>1</f>
        <v>1</v>
      </c>
      <c r="E14" s="2">
        <f t="shared" si="18"/>
        <v>0.39285714285714285</v>
      </c>
      <c r="F14">
        <f>9+12+3+19+7+2+0+18+1+12+13+5+1+19+4+1+6+0+18+0+6+13+0+5+9+17+7+0</f>
        <v>207</v>
      </c>
      <c r="G14">
        <f>14+8+19+13+7+14+24+9+12+13+10+21+10+9+1+13+12+12+3+15+7+8+14+14+6+7+2+12</f>
        <v>309</v>
      </c>
      <c r="H14">
        <f t="shared" si="19"/>
        <v>-102</v>
      </c>
      <c r="I14">
        <f>60</f>
        <v>60</v>
      </c>
      <c r="J14">
        <f>40+40</f>
        <v>80</v>
      </c>
      <c r="K14">
        <f>20</f>
        <v>20</v>
      </c>
      <c r="L14">
        <f t="shared" si="20"/>
        <v>110</v>
      </c>
      <c r="M14">
        <f t="shared" si="21"/>
        <v>5</v>
      </c>
      <c r="N14">
        <f>10+10+10+10+10+10</f>
        <v>60</v>
      </c>
      <c r="O14">
        <f t="shared" si="22"/>
        <v>335</v>
      </c>
    </row>
    <row r="15" spans="1:27" x14ac:dyDescent="0.25">
      <c r="A15" s="3" t="s">
        <v>175</v>
      </c>
      <c r="B15">
        <f>1+1+1+1+1+1+1+1</f>
        <v>8</v>
      </c>
      <c r="C15">
        <f>1+1+1+1+1+1+1</f>
        <v>7</v>
      </c>
      <c r="D15">
        <f>1+1</f>
        <v>2</v>
      </c>
      <c r="E15" s="2">
        <f t="shared" si="18"/>
        <v>0.47058823529411764</v>
      </c>
      <c r="F15">
        <f>5+7+24+0+24+24+4+15+11+10+11+15+4+14+0+22+0</f>
        <v>190</v>
      </c>
      <c r="G15">
        <f>12+7+1+26+0+15+20+3+11+1+12+0+14+0+12+13+13</f>
        <v>160</v>
      </c>
      <c r="H15">
        <f t="shared" si="19"/>
        <v>30</v>
      </c>
      <c r="J15">
        <f>40</f>
        <v>40</v>
      </c>
      <c r="K15">
        <f>20</f>
        <v>20</v>
      </c>
      <c r="L15">
        <f t="shared" si="20"/>
        <v>80</v>
      </c>
      <c r="M15">
        <f t="shared" si="21"/>
        <v>10</v>
      </c>
      <c r="N15">
        <f>10+10+10+10</f>
        <v>40</v>
      </c>
      <c r="O15">
        <f t="shared" ref="O15" si="23">SUM(I15:N15)</f>
        <v>190</v>
      </c>
    </row>
    <row r="16" spans="1:27" x14ac:dyDescent="0.25">
      <c r="A16" s="3" t="s">
        <v>108</v>
      </c>
      <c r="B16">
        <f>1+1</f>
        <v>2</v>
      </c>
      <c r="C16">
        <f>1+1+1+1+1+1+1+1</f>
        <v>8</v>
      </c>
      <c r="D16">
        <f>1</f>
        <v>1</v>
      </c>
      <c r="E16" s="2">
        <f t="shared" ref="E16" si="24">(B16)/(B16+C16+D16)</f>
        <v>0.18181818181818182</v>
      </c>
      <c r="F16">
        <f>0+7+0+5+9+9+4+1+5+13+1</f>
        <v>54</v>
      </c>
      <c r="G16">
        <f>18+8+15+22+8+9+8+21+14+1+16</f>
        <v>140</v>
      </c>
      <c r="H16">
        <f t="shared" ref="H16" si="25">F16-G16</f>
        <v>-86</v>
      </c>
      <c r="L16">
        <f t="shared" ref="L16" si="26">B16*10</f>
        <v>20</v>
      </c>
      <c r="M16">
        <f t="shared" ref="M16" si="27">D16*5</f>
        <v>5</v>
      </c>
      <c r="N16">
        <f>10+10+10</f>
        <v>30</v>
      </c>
      <c r="O16">
        <f t="shared" ref="O16" si="28">SUM(I16:N16)</f>
        <v>55</v>
      </c>
    </row>
    <row r="17" spans="1:15" x14ac:dyDescent="0.25">
      <c r="A17" s="3" t="s">
        <v>109</v>
      </c>
      <c r="B17">
        <f>1+1</f>
        <v>2</v>
      </c>
      <c r="C17">
        <f>1+1+1+1</f>
        <v>4</v>
      </c>
      <c r="E17" s="2">
        <f t="shared" ref="E17:E20" si="29">(B17)/(B17+C17+D17)</f>
        <v>0.33333333333333331</v>
      </c>
      <c r="F17">
        <f>5+8+9+0+8+14</f>
        <v>44</v>
      </c>
      <c r="G17">
        <f>6+7+13+24+9+0</f>
        <v>59</v>
      </c>
      <c r="H17">
        <f t="shared" ref="H17:H20" si="30">F17-G17</f>
        <v>-15</v>
      </c>
      <c r="K17">
        <f>20</f>
        <v>20</v>
      </c>
      <c r="L17">
        <f t="shared" ref="L17:L20" si="31">B17*10</f>
        <v>20</v>
      </c>
      <c r="M17">
        <f t="shared" ref="M17:M20" si="32">D17*5</f>
        <v>0</v>
      </c>
      <c r="N17">
        <f>10+10</f>
        <v>20</v>
      </c>
      <c r="O17">
        <f t="shared" ref="O17:O18" si="33">SUM(I17:N17)</f>
        <v>60</v>
      </c>
    </row>
    <row r="18" spans="1:15" x14ac:dyDescent="0.25">
      <c r="A18" s="3" t="s">
        <v>145</v>
      </c>
      <c r="B18">
        <f>1+1+1+1+1+1+1+1+1+1+1+1+1+1</f>
        <v>14</v>
      </c>
      <c r="C18">
        <f>1+1+1</f>
        <v>3</v>
      </c>
      <c r="E18" s="2">
        <f>(B18)/(B18+C18+D18)</f>
        <v>0.82352941176470584</v>
      </c>
      <c r="F18">
        <f>32+14+24+8+7+12+9+14+15+7+14+12+0+12+13+10+0</f>
        <v>203</v>
      </c>
      <c r="G18">
        <f>6+7+6+7+16+6+5+2+0+6+4+3+12+2+0+3+1</f>
        <v>86</v>
      </c>
      <c r="H18">
        <f t="shared" si="30"/>
        <v>117</v>
      </c>
      <c r="I18">
        <f>60+60</f>
        <v>120</v>
      </c>
      <c r="J18">
        <f>40</f>
        <v>40</v>
      </c>
      <c r="L18">
        <f t="shared" si="31"/>
        <v>140</v>
      </c>
      <c r="M18">
        <f t="shared" si="32"/>
        <v>0</v>
      </c>
      <c r="N18">
        <f>10+10+10</f>
        <v>30</v>
      </c>
      <c r="O18">
        <f t="shared" si="33"/>
        <v>330</v>
      </c>
    </row>
    <row r="19" spans="1:15" x14ac:dyDescent="0.25">
      <c r="A19" s="3" t="s">
        <v>205</v>
      </c>
      <c r="B19">
        <f>1+1+1</f>
        <v>3</v>
      </c>
      <c r="C19">
        <f>1</f>
        <v>1</v>
      </c>
      <c r="E19" s="2">
        <f t="shared" si="29"/>
        <v>0.75</v>
      </c>
      <c r="F19">
        <f>12+14+20+11</f>
        <v>57</v>
      </c>
      <c r="G19">
        <f>10+2+8+20</f>
        <v>40</v>
      </c>
      <c r="H19">
        <f t="shared" si="30"/>
        <v>17</v>
      </c>
      <c r="K19">
        <f>20</f>
        <v>20</v>
      </c>
      <c r="L19">
        <f t="shared" si="31"/>
        <v>30</v>
      </c>
      <c r="M19">
        <f t="shared" si="32"/>
        <v>0</v>
      </c>
      <c r="N19">
        <f>10</f>
        <v>10</v>
      </c>
      <c r="O19">
        <f t="shared" ref="O19" si="34">SUM(I19:N19)</f>
        <v>60</v>
      </c>
    </row>
    <row r="20" spans="1:15" x14ac:dyDescent="0.25">
      <c r="A20" s="3" t="s">
        <v>199</v>
      </c>
      <c r="B20">
        <f>1+1+1+1+1+1+1</f>
        <v>7</v>
      </c>
      <c r="C20">
        <f>1+1</f>
        <v>2</v>
      </c>
      <c r="E20" s="2">
        <f t="shared" si="29"/>
        <v>0.77777777777777779</v>
      </c>
      <c r="F20">
        <f>18+13+21+12+17+16+13+6+13</f>
        <v>129</v>
      </c>
      <c r="G20">
        <f>9+6+5+11+3+0+3+17+22</f>
        <v>76</v>
      </c>
      <c r="H20">
        <f t="shared" si="30"/>
        <v>53</v>
      </c>
      <c r="I20">
        <f>60</f>
        <v>60</v>
      </c>
      <c r="L20">
        <f t="shared" si="31"/>
        <v>70</v>
      </c>
      <c r="M20">
        <f t="shared" si="32"/>
        <v>0</v>
      </c>
      <c r="N20">
        <f>10+10</f>
        <v>20</v>
      </c>
      <c r="O20">
        <f t="shared" ref="O20" si="35">SUM(I20:N20)</f>
        <v>150</v>
      </c>
    </row>
    <row r="21" spans="1:15" x14ac:dyDescent="0.25">
      <c r="A21" s="3" t="s">
        <v>146</v>
      </c>
      <c r="B21">
        <f>1+1+1+1+1+1</f>
        <v>6</v>
      </c>
      <c r="C21">
        <f>1+1+1+1+1+1+1+1+1+1+1+1+1+1</f>
        <v>14</v>
      </c>
      <c r="E21" s="2">
        <f t="shared" ref="E21:E34" si="36">(B21)/(B21+C21+D21)</f>
        <v>0.3</v>
      </c>
      <c r="F21">
        <f>6+14+15+7+13+16+22+18+11+9+3+8+9+3+7+7+15+2+10+2</f>
        <v>197</v>
      </c>
      <c r="G21">
        <f>32+9+6+12+19+1+5+7+10+18+15+18+18+15+12+8+21+14+19+14</f>
        <v>273</v>
      </c>
      <c r="H21">
        <f t="shared" ref="H21:H34" si="37">F21-G21</f>
        <v>-76</v>
      </c>
      <c r="J21">
        <f>40+40</f>
        <v>80</v>
      </c>
      <c r="K21">
        <f>20</f>
        <v>20</v>
      </c>
      <c r="L21">
        <f t="shared" ref="L21:L34" si="38">B21*10</f>
        <v>60</v>
      </c>
      <c r="M21">
        <f t="shared" ref="M21:M34" si="39">D21*5</f>
        <v>0</v>
      </c>
      <c r="N21">
        <f>10+10+10+10+10</f>
        <v>50</v>
      </c>
      <c r="O21">
        <f t="shared" ref="O21:O25" si="40">SUM(I21:N21)</f>
        <v>210</v>
      </c>
    </row>
    <row r="22" spans="1:15" x14ac:dyDescent="0.25">
      <c r="A22" s="3" t="s">
        <v>238</v>
      </c>
      <c r="B22">
        <f>1+1+1+1+1+1+1</f>
        <v>7</v>
      </c>
      <c r="E22" s="2">
        <f t="shared" si="36"/>
        <v>1</v>
      </c>
      <c r="F22">
        <f>15+7+14+12+12+3+1</f>
        <v>64</v>
      </c>
      <c r="G22">
        <f>0+1+0+0+0+1+0</f>
        <v>2</v>
      </c>
      <c r="H22">
        <f t="shared" si="37"/>
        <v>62</v>
      </c>
      <c r="I22">
        <f>60</f>
        <v>60</v>
      </c>
      <c r="L22">
        <f t="shared" si="38"/>
        <v>70</v>
      </c>
      <c r="M22">
        <f t="shared" si="39"/>
        <v>0</v>
      </c>
      <c r="N22">
        <f>10</f>
        <v>10</v>
      </c>
      <c r="O22">
        <f t="shared" ref="O22" si="41">SUM(I22:N22)</f>
        <v>140</v>
      </c>
    </row>
    <row r="23" spans="1:15" x14ac:dyDescent="0.25">
      <c r="A23" s="3" t="s">
        <v>176</v>
      </c>
      <c r="B23">
        <f>1+1+1+1+1+1+1+1+1+1+1</f>
        <v>11</v>
      </c>
      <c r="C23">
        <f>1+1</f>
        <v>2</v>
      </c>
      <c r="E23" s="2">
        <f t="shared" si="36"/>
        <v>0.84615384615384615</v>
      </c>
      <c r="F23">
        <f>12+24+14+16+15+11+18+11+13+10+5+13+7</f>
        <v>169</v>
      </c>
      <c r="G23">
        <f>5+0+2+1+3+5+8+12+1+4+9+1+5</f>
        <v>56</v>
      </c>
      <c r="H23">
        <f t="shared" si="37"/>
        <v>113</v>
      </c>
      <c r="I23">
        <f>60+60</f>
        <v>120</v>
      </c>
      <c r="J23">
        <f>40</f>
        <v>40</v>
      </c>
      <c r="L23">
        <f t="shared" si="38"/>
        <v>110</v>
      </c>
      <c r="M23">
        <f t="shared" si="39"/>
        <v>0</v>
      </c>
      <c r="N23">
        <f>10+10+10</f>
        <v>30</v>
      </c>
      <c r="O23">
        <f t="shared" si="40"/>
        <v>300</v>
      </c>
    </row>
    <row r="24" spans="1:15" x14ac:dyDescent="0.25">
      <c r="A24" s="3" t="s">
        <v>201</v>
      </c>
      <c r="B24">
        <f>1+1+1</f>
        <v>3</v>
      </c>
      <c r="C24">
        <f>1+1</f>
        <v>2</v>
      </c>
      <c r="E24" s="2">
        <f t="shared" si="36"/>
        <v>0.6</v>
      </c>
      <c r="F24">
        <f>10+12+17+8+1</f>
        <v>48</v>
      </c>
      <c r="G24">
        <f>13+7+7+7+4</f>
        <v>38</v>
      </c>
      <c r="H24">
        <f t="shared" si="37"/>
        <v>10</v>
      </c>
      <c r="J24">
        <f>40</f>
        <v>40</v>
      </c>
      <c r="L24">
        <f t="shared" si="38"/>
        <v>30</v>
      </c>
      <c r="M24">
        <f t="shared" si="39"/>
        <v>0</v>
      </c>
      <c r="N24">
        <f>10</f>
        <v>10</v>
      </c>
      <c r="O24">
        <f t="shared" ref="O24" si="42">SUM(I24:N24)</f>
        <v>80</v>
      </c>
    </row>
    <row r="25" spans="1:15" x14ac:dyDescent="0.25">
      <c r="A25" s="3" t="s">
        <v>149</v>
      </c>
      <c r="B25">
        <f>1+1+1+1+1+1</f>
        <v>6</v>
      </c>
      <c r="C25">
        <f>1+1+1</f>
        <v>3</v>
      </c>
      <c r="E25" s="2">
        <f t="shared" si="36"/>
        <v>0.66666666666666663</v>
      </c>
      <c r="F25">
        <f>24+6+15+12+16+4+12+20+5</f>
        <v>114</v>
      </c>
      <c r="G25">
        <f>2+24+13+7+7+10+0+11+7</f>
        <v>81</v>
      </c>
      <c r="H25">
        <f t="shared" si="37"/>
        <v>33</v>
      </c>
      <c r="I25">
        <f>60</f>
        <v>60</v>
      </c>
      <c r="J25">
        <f>40</f>
        <v>40</v>
      </c>
      <c r="L25">
        <f t="shared" si="38"/>
        <v>60</v>
      </c>
      <c r="M25">
        <f t="shared" si="39"/>
        <v>0</v>
      </c>
      <c r="N25">
        <f>10+10</f>
        <v>20</v>
      </c>
      <c r="O25">
        <f t="shared" si="40"/>
        <v>180</v>
      </c>
    </row>
    <row r="26" spans="1:15" x14ac:dyDescent="0.25">
      <c r="A26" s="3" t="s">
        <v>220</v>
      </c>
      <c r="C26">
        <f>1+1+1+1</f>
        <v>4</v>
      </c>
      <c r="E26" s="2">
        <f t="shared" ref="E26:E27" si="43">(B26)/(B26+C26+D26)</f>
        <v>0</v>
      </c>
      <c r="F26">
        <f>2+6+4+1</f>
        <v>13</v>
      </c>
      <c r="G26">
        <f>17+19+17+13</f>
        <v>66</v>
      </c>
      <c r="H26">
        <f t="shared" ref="H26:H27" si="44">F26-G26</f>
        <v>-53</v>
      </c>
      <c r="L26">
        <f t="shared" ref="L26:L27" si="45">B26*10</f>
        <v>0</v>
      </c>
      <c r="M26">
        <f t="shared" ref="M26:M27" si="46">D26*5</f>
        <v>0</v>
      </c>
      <c r="N26">
        <f>10</f>
        <v>10</v>
      </c>
      <c r="O26">
        <f t="shared" ref="O26:O27" si="47">SUM(I26:N26)</f>
        <v>10</v>
      </c>
    </row>
    <row r="27" spans="1:15" x14ac:dyDescent="0.25">
      <c r="A27" s="3" t="s">
        <v>237</v>
      </c>
      <c r="B27">
        <f>1+1+1+1</f>
        <v>4</v>
      </c>
      <c r="C27">
        <f>1+1+1</f>
        <v>3</v>
      </c>
      <c r="E27" s="2">
        <f t="shared" si="43"/>
        <v>0.5714285714285714</v>
      </c>
      <c r="F27">
        <f>9+1+11+10+17+1+3</f>
        <v>52</v>
      </c>
      <c r="G27">
        <f>1+7+2+4+6+3+10</f>
        <v>33</v>
      </c>
      <c r="H27">
        <f t="shared" si="44"/>
        <v>19</v>
      </c>
      <c r="K27">
        <f>20</f>
        <v>20</v>
      </c>
      <c r="L27">
        <f t="shared" si="45"/>
        <v>40</v>
      </c>
      <c r="M27">
        <f t="shared" si="46"/>
        <v>0</v>
      </c>
      <c r="N27">
        <f>10</f>
        <v>10</v>
      </c>
      <c r="O27">
        <f t="shared" si="47"/>
        <v>70</v>
      </c>
    </row>
    <row r="28" spans="1:15" x14ac:dyDescent="0.25">
      <c r="A28" s="3" t="s">
        <v>207</v>
      </c>
      <c r="B28">
        <f>1+1+1+1+1</f>
        <v>5</v>
      </c>
      <c r="C28">
        <f>1+1+1+1</f>
        <v>4</v>
      </c>
      <c r="E28" s="2">
        <f t="shared" si="36"/>
        <v>0.55555555555555558</v>
      </c>
      <c r="F28">
        <f>21+8+8+3+16+19+12+13+0</f>
        <v>100</v>
      </c>
      <c r="G28">
        <f>15+9+20+18+6+6+11+12+20</f>
        <v>117</v>
      </c>
      <c r="H28">
        <f t="shared" si="37"/>
        <v>-17</v>
      </c>
      <c r="J28">
        <f>40</f>
        <v>40</v>
      </c>
      <c r="K28">
        <f>20</f>
        <v>20</v>
      </c>
      <c r="L28">
        <f t="shared" si="38"/>
        <v>50</v>
      </c>
      <c r="M28">
        <f t="shared" si="39"/>
        <v>0</v>
      </c>
      <c r="N28">
        <f>10+10</f>
        <v>20</v>
      </c>
      <c r="O28">
        <f t="shared" ref="O28" si="48">SUM(I28:N28)</f>
        <v>130</v>
      </c>
    </row>
    <row r="29" spans="1:15" x14ac:dyDescent="0.25">
      <c r="A29" s="3" t="s">
        <v>240</v>
      </c>
      <c r="B29">
        <f>1</f>
        <v>1</v>
      </c>
      <c r="C29">
        <f>1+1+1+1</f>
        <v>4</v>
      </c>
      <c r="E29" s="2">
        <f t="shared" ref="E29" si="49">(B29)/(B29+C29+D29)</f>
        <v>0.2</v>
      </c>
      <c r="F29">
        <f>2+0+19+4+6</f>
        <v>31</v>
      </c>
      <c r="G29">
        <f>14+16+4+20+17</f>
        <v>71</v>
      </c>
      <c r="H29">
        <f t="shared" ref="H29" si="50">F29-G29</f>
        <v>-40</v>
      </c>
      <c r="L29">
        <f t="shared" ref="L29" si="51">B29*10</f>
        <v>10</v>
      </c>
      <c r="M29">
        <f t="shared" ref="M29" si="52">D29*5</f>
        <v>0</v>
      </c>
      <c r="N29">
        <f>10</f>
        <v>10</v>
      </c>
      <c r="O29">
        <f t="shared" ref="O29" si="53">SUM(I29:N29)</f>
        <v>20</v>
      </c>
    </row>
    <row r="30" spans="1:15" x14ac:dyDescent="0.25">
      <c r="A30" s="3" t="s">
        <v>182</v>
      </c>
      <c r="B30">
        <f>1</f>
        <v>1</v>
      </c>
      <c r="C30">
        <f>1+1+1</f>
        <v>3</v>
      </c>
      <c r="E30" s="2">
        <f t="shared" si="36"/>
        <v>0.25</v>
      </c>
      <c r="F30">
        <f>8+1+9+3</f>
        <v>21</v>
      </c>
      <c r="G30">
        <f>3+20+14+15</f>
        <v>52</v>
      </c>
      <c r="H30">
        <f t="shared" si="37"/>
        <v>-31</v>
      </c>
      <c r="K30">
        <f>20</f>
        <v>20</v>
      </c>
      <c r="L30">
        <f t="shared" si="38"/>
        <v>10</v>
      </c>
      <c r="M30">
        <f t="shared" si="39"/>
        <v>0</v>
      </c>
      <c r="N30">
        <f>10</f>
        <v>10</v>
      </c>
      <c r="O30">
        <f t="shared" ref="O30:O31" si="54">SUM(I30:N30)</f>
        <v>40</v>
      </c>
    </row>
    <row r="31" spans="1:15" x14ac:dyDescent="0.25">
      <c r="A31" s="3" t="s">
        <v>239</v>
      </c>
      <c r="C31">
        <f>1+1+1+1+1</f>
        <v>5</v>
      </c>
      <c r="E31" s="2">
        <f t="shared" si="36"/>
        <v>0</v>
      </c>
      <c r="F31">
        <f>3+4+4+2+6</f>
        <v>19</v>
      </c>
      <c r="G31">
        <f>17+17+19+17+9</f>
        <v>79</v>
      </c>
      <c r="H31">
        <f t="shared" si="37"/>
        <v>-60</v>
      </c>
      <c r="L31">
        <f t="shared" si="38"/>
        <v>0</v>
      </c>
      <c r="M31">
        <f t="shared" si="39"/>
        <v>0</v>
      </c>
      <c r="N31">
        <f>10</f>
        <v>10</v>
      </c>
      <c r="O31">
        <f t="shared" si="54"/>
        <v>10</v>
      </c>
    </row>
    <row r="32" spans="1:15" x14ac:dyDescent="0.25">
      <c r="A32" s="3" t="s">
        <v>219</v>
      </c>
      <c r="B32">
        <f>1+1</f>
        <v>2</v>
      </c>
      <c r="C32">
        <f>1+1</f>
        <v>2</v>
      </c>
      <c r="E32" s="2">
        <f t="shared" si="36"/>
        <v>0.5</v>
      </c>
      <c r="F32">
        <f>17+13+3+8</f>
        <v>41</v>
      </c>
      <c r="G32">
        <f>2+9+13+19</f>
        <v>43</v>
      </c>
      <c r="H32">
        <f t="shared" si="37"/>
        <v>-2</v>
      </c>
      <c r="L32">
        <f t="shared" si="38"/>
        <v>20</v>
      </c>
      <c r="M32">
        <f t="shared" si="39"/>
        <v>0</v>
      </c>
      <c r="N32">
        <f>10</f>
        <v>10</v>
      </c>
      <c r="O32">
        <f t="shared" ref="O32:O34" si="55">SUM(I32:N32)</f>
        <v>30</v>
      </c>
    </row>
    <row r="33" spans="1:15" x14ac:dyDescent="0.25">
      <c r="A33" s="3" t="s">
        <v>170</v>
      </c>
      <c r="B33">
        <f>1+1</f>
        <v>2</v>
      </c>
      <c r="C33">
        <f>1+1+1</f>
        <v>3</v>
      </c>
      <c r="E33" s="2">
        <f t="shared" si="36"/>
        <v>0.4</v>
      </c>
      <c r="F33">
        <f>12+9+11+14+8</f>
        <v>54</v>
      </c>
      <c r="G33">
        <f>11+13+12+4+9</f>
        <v>49</v>
      </c>
      <c r="H33">
        <f t="shared" si="37"/>
        <v>5</v>
      </c>
      <c r="J33">
        <f>40</f>
        <v>40</v>
      </c>
      <c r="L33">
        <f t="shared" si="38"/>
        <v>20</v>
      </c>
      <c r="M33">
        <f t="shared" si="39"/>
        <v>0</v>
      </c>
      <c r="N33">
        <f>10</f>
        <v>10</v>
      </c>
      <c r="O33">
        <f t="shared" si="55"/>
        <v>70</v>
      </c>
    </row>
    <row r="34" spans="1:15" x14ac:dyDescent="0.25">
      <c r="A34" s="3" t="s">
        <v>223</v>
      </c>
      <c r="B34">
        <f>1+1+1</f>
        <v>3</v>
      </c>
      <c r="C34">
        <f>1+1</f>
        <v>2</v>
      </c>
      <c r="E34" s="2">
        <f t="shared" si="36"/>
        <v>0.6</v>
      </c>
      <c r="F34">
        <f>21+14+5+19+12</f>
        <v>71</v>
      </c>
      <c r="G34">
        <f>11+7+18+8+13</f>
        <v>57</v>
      </c>
      <c r="H34">
        <f t="shared" si="37"/>
        <v>14</v>
      </c>
      <c r="L34">
        <f t="shared" si="38"/>
        <v>30</v>
      </c>
      <c r="M34">
        <f t="shared" si="39"/>
        <v>0</v>
      </c>
      <c r="N34">
        <f>10</f>
        <v>10</v>
      </c>
      <c r="O34">
        <f t="shared" si="55"/>
        <v>40</v>
      </c>
    </row>
    <row r="35" spans="1:15" x14ac:dyDescent="0.25">
      <c r="A35" s="3" t="s">
        <v>110</v>
      </c>
      <c r="B35">
        <f>1+1+1+1+1+1+1</f>
        <v>7</v>
      </c>
      <c r="C35">
        <f>1+1</f>
        <v>2</v>
      </c>
      <c r="E35" s="2">
        <f t="shared" ref="E35:E36" si="56">(B35)/(B35+C35+D35)</f>
        <v>0.77777777777777779</v>
      </c>
      <c r="F35">
        <f>13+18+15+16+10+12+5+13+13</f>
        <v>115</v>
      </c>
      <c r="G35">
        <f>0+0+0+1+11+1+11+12+1</f>
        <v>37</v>
      </c>
      <c r="H35">
        <f t="shared" ref="H35:H36" si="57">F35-G35</f>
        <v>78</v>
      </c>
      <c r="I35">
        <f>60+60</f>
        <v>120</v>
      </c>
      <c r="L35">
        <f t="shared" ref="L35:L36" si="58">B35*10</f>
        <v>70</v>
      </c>
      <c r="M35">
        <f t="shared" ref="M35:M36" si="59">D35*5</f>
        <v>0</v>
      </c>
      <c r="N35">
        <f>10+10</f>
        <v>20</v>
      </c>
      <c r="O35">
        <f t="shared" ref="O35" si="60">SUM(I35:N35)</f>
        <v>210</v>
      </c>
    </row>
    <row r="36" spans="1:15" x14ac:dyDescent="0.25">
      <c r="A36" s="3" t="s">
        <v>222</v>
      </c>
      <c r="B36">
        <f>1+1</f>
        <v>2</v>
      </c>
      <c r="C36">
        <f>1+1+1</f>
        <v>3</v>
      </c>
      <c r="E36" s="2">
        <f t="shared" si="56"/>
        <v>0.4</v>
      </c>
      <c r="F36">
        <f>11+3+14+15+9</f>
        <v>52</v>
      </c>
      <c r="G36">
        <f>21+16+5+6+18</f>
        <v>66</v>
      </c>
      <c r="H36">
        <f t="shared" si="57"/>
        <v>-14</v>
      </c>
      <c r="L36">
        <f t="shared" si="58"/>
        <v>20</v>
      </c>
      <c r="M36">
        <f t="shared" si="59"/>
        <v>0</v>
      </c>
      <c r="N36">
        <f>10</f>
        <v>10</v>
      </c>
      <c r="O36">
        <f t="shared" ref="O36" si="61">SUM(I36:N36)</f>
        <v>30</v>
      </c>
    </row>
    <row r="37" spans="1:15" x14ac:dyDescent="0.25">
      <c r="E37" s="2" t="e">
        <f t="shared" ref="E37:E95" si="62">(B37)/(B37+C37+D37)</f>
        <v>#DIV/0!</v>
      </c>
      <c r="H37">
        <f t="shared" ref="H37:H95" si="63">F37-G37</f>
        <v>0</v>
      </c>
      <c r="L37">
        <f t="shared" ref="L37:L85" si="64">B37*10</f>
        <v>0</v>
      </c>
      <c r="M37">
        <f t="shared" ref="M37:M48" si="65">D37*5</f>
        <v>0</v>
      </c>
      <c r="O37">
        <f t="shared" ref="O37" si="66">SUM(I37:N37)</f>
        <v>0</v>
      </c>
    </row>
    <row r="38" spans="1:15" x14ac:dyDescent="0.25">
      <c r="E38" s="2" t="e">
        <f t="shared" si="62"/>
        <v>#DIV/0!</v>
      </c>
      <c r="H38">
        <f t="shared" si="63"/>
        <v>0</v>
      </c>
      <c r="L38">
        <f t="shared" si="64"/>
        <v>0</v>
      </c>
      <c r="M38">
        <f t="shared" si="65"/>
        <v>0</v>
      </c>
      <c r="O38">
        <f t="shared" ref="O38:O78" si="67">SUM(I38:N38)</f>
        <v>0</v>
      </c>
    </row>
    <row r="39" spans="1:15" x14ac:dyDescent="0.25">
      <c r="E39" s="2" t="e">
        <f t="shared" si="62"/>
        <v>#DIV/0!</v>
      </c>
      <c r="H39">
        <f t="shared" si="63"/>
        <v>0</v>
      </c>
      <c r="L39">
        <f t="shared" si="64"/>
        <v>0</v>
      </c>
      <c r="M39">
        <f t="shared" si="65"/>
        <v>0</v>
      </c>
      <c r="O39">
        <f t="shared" si="67"/>
        <v>0</v>
      </c>
    </row>
    <row r="40" spans="1:15" x14ac:dyDescent="0.25">
      <c r="E40" s="2" t="e">
        <f t="shared" si="62"/>
        <v>#DIV/0!</v>
      </c>
      <c r="H40">
        <f t="shared" si="63"/>
        <v>0</v>
      </c>
      <c r="L40">
        <f t="shared" si="64"/>
        <v>0</v>
      </c>
      <c r="M40">
        <f t="shared" si="65"/>
        <v>0</v>
      </c>
      <c r="O40">
        <f t="shared" ref="O40" si="68">SUM(I40:N40)</f>
        <v>0</v>
      </c>
    </row>
    <row r="41" spans="1:15" x14ac:dyDescent="0.25">
      <c r="E41" s="2" t="e">
        <f t="shared" si="62"/>
        <v>#DIV/0!</v>
      </c>
      <c r="H41">
        <f t="shared" si="63"/>
        <v>0</v>
      </c>
      <c r="L41">
        <f t="shared" si="64"/>
        <v>0</v>
      </c>
      <c r="M41">
        <f t="shared" si="65"/>
        <v>0</v>
      </c>
      <c r="O41">
        <f t="shared" si="67"/>
        <v>0</v>
      </c>
    </row>
    <row r="42" spans="1:15" x14ac:dyDescent="0.25">
      <c r="E42" s="2" t="e">
        <f t="shared" si="62"/>
        <v>#DIV/0!</v>
      </c>
      <c r="H42">
        <f t="shared" si="63"/>
        <v>0</v>
      </c>
      <c r="L42">
        <f t="shared" si="64"/>
        <v>0</v>
      </c>
      <c r="M42">
        <f t="shared" si="65"/>
        <v>0</v>
      </c>
      <c r="O42">
        <f t="shared" si="67"/>
        <v>0</v>
      </c>
    </row>
    <row r="43" spans="1:15" x14ac:dyDescent="0.25">
      <c r="E43" s="2" t="e">
        <f t="shared" si="62"/>
        <v>#DIV/0!</v>
      </c>
      <c r="H43">
        <f t="shared" si="63"/>
        <v>0</v>
      </c>
      <c r="L43">
        <f t="shared" si="64"/>
        <v>0</v>
      </c>
      <c r="M43">
        <f t="shared" si="65"/>
        <v>0</v>
      </c>
      <c r="O43">
        <f t="shared" ref="O43" si="69">SUM(I43:N43)</f>
        <v>0</v>
      </c>
    </row>
    <row r="44" spans="1:15" x14ac:dyDescent="0.25">
      <c r="E44" s="2" t="e">
        <f t="shared" si="62"/>
        <v>#DIV/0!</v>
      </c>
      <c r="H44">
        <f t="shared" si="63"/>
        <v>0</v>
      </c>
      <c r="L44">
        <f t="shared" si="64"/>
        <v>0</v>
      </c>
      <c r="M44">
        <f t="shared" si="65"/>
        <v>0</v>
      </c>
      <c r="O44">
        <f t="shared" ref="O44" si="70">SUM(I44:N44)</f>
        <v>0</v>
      </c>
    </row>
    <row r="45" spans="1:15" x14ac:dyDescent="0.25">
      <c r="E45" s="2" t="e">
        <f t="shared" si="62"/>
        <v>#DIV/0!</v>
      </c>
      <c r="H45">
        <f t="shared" si="63"/>
        <v>0</v>
      </c>
      <c r="L45">
        <f t="shared" si="64"/>
        <v>0</v>
      </c>
      <c r="M45">
        <f t="shared" si="65"/>
        <v>0</v>
      </c>
      <c r="O45">
        <f t="shared" si="67"/>
        <v>0</v>
      </c>
    </row>
    <row r="46" spans="1:15" x14ac:dyDescent="0.25">
      <c r="E46" s="2" t="e">
        <f t="shared" si="62"/>
        <v>#DIV/0!</v>
      </c>
      <c r="H46">
        <f t="shared" si="63"/>
        <v>0</v>
      </c>
      <c r="L46">
        <f t="shared" si="64"/>
        <v>0</v>
      </c>
      <c r="M46">
        <f t="shared" si="65"/>
        <v>0</v>
      </c>
      <c r="O46">
        <f t="shared" si="67"/>
        <v>0</v>
      </c>
    </row>
    <row r="47" spans="1:15" x14ac:dyDescent="0.25">
      <c r="E47" s="2" t="e">
        <f t="shared" si="62"/>
        <v>#DIV/0!</v>
      </c>
      <c r="H47">
        <f t="shared" si="63"/>
        <v>0</v>
      </c>
      <c r="L47">
        <f t="shared" si="64"/>
        <v>0</v>
      </c>
      <c r="M47">
        <f t="shared" si="65"/>
        <v>0</v>
      </c>
      <c r="O47">
        <f t="shared" ref="O47" si="71">SUM(I47:N47)</f>
        <v>0</v>
      </c>
    </row>
    <row r="48" spans="1:15" x14ac:dyDescent="0.25">
      <c r="E48" s="2" t="e">
        <f t="shared" si="62"/>
        <v>#DIV/0!</v>
      </c>
      <c r="H48">
        <f t="shared" si="63"/>
        <v>0</v>
      </c>
      <c r="L48">
        <f t="shared" si="64"/>
        <v>0</v>
      </c>
      <c r="M48">
        <f t="shared" si="65"/>
        <v>0</v>
      </c>
      <c r="O48">
        <f t="shared" si="67"/>
        <v>0</v>
      </c>
    </row>
    <row r="49" spans="5:15" x14ac:dyDescent="0.25">
      <c r="E49" s="2" t="e">
        <f t="shared" si="62"/>
        <v>#DIV/0!</v>
      </c>
      <c r="H49">
        <f t="shared" si="63"/>
        <v>0</v>
      </c>
      <c r="L49">
        <f t="shared" si="64"/>
        <v>0</v>
      </c>
      <c r="M49">
        <v>0</v>
      </c>
      <c r="O49">
        <f t="shared" si="67"/>
        <v>0</v>
      </c>
    </row>
    <row r="50" spans="5:15" x14ac:dyDescent="0.25">
      <c r="E50" s="2" t="e">
        <f t="shared" si="62"/>
        <v>#DIV/0!</v>
      </c>
      <c r="H50">
        <f t="shared" si="63"/>
        <v>0</v>
      </c>
      <c r="L50">
        <f t="shared" si="64"/>
        <v>0</v>
      </c>
      <c r="M50">
        <f t="shared" ref="M50:M108" si="72">D50*5</f>
        <v>0</v>
      </c>
      <c r="O50">
        <f t="shared" si="67"/>
        <v>0</v>
      </c>
    </row>
    <row r="51" spans="5:15" x14ac:dyDescent="0.25">
      <c r="E51" s="2" t="e">
        <f t="shared" si="62"/>
        <v>#DIV/0!</v>
      </c>
      <c r="H51">
        <f t="shared" si="63"/>
        <v>0</v>
      </c>
      <c r="L51">
        <f t="shared" si="64"/>
        <v>0</v>
      </c>
      <c r="M51">
        <f t="shared" si="72"/>
        <v>0</v>
      </c>
      <c r="O51">
        <f t="shared" si="67"/>
        <v>0</v>
      </c>
    </row>
    <row r="52" spans="5:15" x14ac:dyDescent="0.25">
      <c r="E52" s="2" t="e">
        <f t="shared" si="62"/>
        <v>#DIV/0!</v>
      </c>
      <c r="H52">
        <f t="shared" si="63"/>
        <v>0</v>
      </c>
      <c r="L52">
        <f t="shared" si="64"/>
        <v>0</v>
      </c>
      <c r="M52">
        <f t="shared" si="72"/>
        <v>0</v>
      </c>
      <c r="O52">
        <f t="shared" si="67"/>
        <v>0</v>
      </c>
    </row>
    <row r="53" spans="5:15" x14ac:dyDescent="0.25">
      <c r="E53" s="2" t="e">
        <f t="shared" si="62"/>
        <v>#DIV/0!</v>
      </c>
      <c r="H53">
        <f t="shared" si="63"/>
        <v>0</v>
      </c>
      <c r="L53">
        <f t="shared" si="64"/>
        <v>0</v>
      </c>
      <c r="M53">
        <f t="shared" si="72"/>
        <v>0</v>
      </c>
      <c r="O53">
        <f t="shared" si="67"/>
        <v>0</v>
      </c>
    </row>
    <row r="54" spans="5:15" x14ac:dyDescent="0.25">
      <c r="E54" s="2" t="e">
        <f t="shared" si="62"/>
        <v>#DIV/0!</v>
      </c>
      <c r="H54">
        <f t="shared" si="63"/>
        <v>0</v>
      </c>
      <c r="L54">
        <f t="shared" si="64"/>
        <v>0</v>
      </c>
      <c r="M54">
        <f t="shared" si="72"/>
        <v>0</v>
      </c>
      <c r="O54">
        <f t="shared" si="67"/>
        <v>0</v>
      </c>
    </row>
    <row r="55" spans="5:15" x14ac:dyDescent="0.25">
      <c r="E55" s="2" t="e">
        <f t="shared" si="62"/>
        <v>#DIV/0!</v>
      </c>
      <c r="H55">
        <f t="shared" si="63"/>
        <v>0</v>
      </c>
      <c r="L55">
        <f t="shared" si="64"/>
        <v>0</v>
      </c>
      <c r="M55">
        <f t="shared" si="72"/>
        <v>0</v>
      </c>
      <c r="O55">
        <f t="shared" si="67"/>
        <v>0</v>
      </c>
    </row>
    <row r="56" spans="5:15" x14ac:dyDescent="0.25">
      <c r="E56" s="2" t="e">
        <f t="shared" si="62"/>
        <v>#DIV/0!</v>
      </c>
      <c r="H56">
        <f t="shared" si="63"/>
        <v>0</v>
      </c>
      <c r="L56">
        <f t="shared" si="64"/>
        <v>0</v>
      </c>
      <c r="M56">
        <f t="shared" si="72"/>
        <v>0</v>
      </c>
      <c r="O56">
        <f t="shared" si="67"/>
        <v>0</v>
      </c>
    </row>
    <row r="57" spans="5:15" x14ac:dyDescent="0.25">
      <c r="E57" s="2" t="e">
        <f t="shared" si="62"/>
        <v>#DIV/0!</v>
      </c>
      <c r="H57">
        <f t="shared" si="63"/>
        <v>0</v>
      </c>
      <c r="L57">
        <f t="shared" si="64"/>
        <v>0</v>
      </c>
      <c r="M57">
        <f t="shared" si="72"/>
        <v>0</v>
      </c>
      <c r="O57">
        <f t="shared" si="67"/>
        <v>0</v>
      </c>
    </row>
    <row r="58" spans="5:15" x14ac:dyDescent="0.25">
      <c r="E58" s="2" t="e">
        <f t="shared" si="62"/>
        <v>#DIV/0!</v>
      </c>
      <c r="H58">
        <f t="shared" si="63"/>
        <v>0</v>
      </c>
      <c r="L58">
        <f t="shared" si="64"/>
        <v>0</v>
      </c>
      <c r="M58">
        <f t="shared" si="72"/>
        <v>0</v>
      </c>
      <c r="O58">
        <f t="shared" si="67"/>
        <v>0</v>
      </c>
    </row>
    <row r="59" spans="5:15" x14ac:dyDescent="0.25">
      <c r="E59" s="2" t="e">
        <f t="shared" si="62"/>
        <v>#DIV/0!</v>
      </c>
      <c r="H59">
        <f t="shared" si="63"/>
        <v>0</v>
      </c>
      <c r="L59">
        <f t="shared" si="64"/>
        <v>0</v>
      </c>
      <c r="M59">
        <f t="shared" si="72"/>
        <v>0</v>
      </c>
      <c r="O59">
        <f t="shared" ref="O59" si="73">SUM(I59:N59)</f>
        <v>0</v>
      </c>
    </row>
    <row r="60" spans="5:15" x14ac:dyDescent="0.25">
      <c r="E60" s="2" t="e">
        <f t="shared" si="62"/>
        <v>#DIV/0!</v>
      </c>
      <c r="H60">
        <f t="shared" si="63"/>
        <v>0</v>
      </c>
      <c r="L60">
        <f t="shared" si="64"/>
        <v>0</v>
      </c>
      <c r="M60">
        <f t="shared" si="72"/>
        <v>0</v>
      </c>
      <c r="O60">
        <f t="shared" si="67"/>
        <v>0</v>
      </c>
    </row>
    <row r="61" spans="5:15" x14ac:dyDescent="0.25">
      <c r="E61" s="2" t="e">
        <f t="shared" si="62"/>
        <v>#DIV/0!</v>
      </c>
      <c r="H61">
        <f t="shared" si="63"/>
        <v>0</v>
      </c>
      <c r="L61">
        <f t="shared" si="64"/>
        <v>0</v>
      </c>
      <c r="M61">
        <f t="shared" si="72"/>
        <v>0</v>
      </c>
      <c r="O61">
        <f t="shared" si="67"/>
        <v>0</v>
      </c>
    </row>
    <row r="62" spans="5:15" x14ac:dyDescent="0.25">
      <c r="E62" s="2" t="e">
        <f t="shared" si="62"/>
        <v>#DIV/0!</v>
      </c>
      <c r="H62">
        <f t="shared" si="63"/>
        <v>0</v>
      </c>
      <c r="L62">
        <f t="shared" si="64"/>
        <v>0</v>
      </c>
      <c r="M62">
        <f t="shared" si="72"/>
        <v>0</v>
      </c>
      <c r="O62">
        <f t="shared" si="67"/>
        <v>0</v>
      </c>
    </row>
    <row r="63" spans="5:15" x14ac:dyDescent="0.25">
      <c r="E63" s="2" t="e">
        <f t="shared" si="62"/>
        <v>#DIV/0!</v>
      </c>
      <c r="H63">
        <f t="shared" si="63"/>
        <v>0</v>
      </c>
      <c r="L63">
        <f t="shared" si="64"/>
        <v>0</v>
      </c>
      <c r="M63">
        <f t="shared" si="72"/>
        <v>0</v>
      </c>
      <c r="O63">
        <f t="shared" si="67"/>
        <v>0</v>
      </c>
    </row>
    <row r="64" spans="5:15" x14ac:dyDescent="0.25">
      <c r="E64" s="2" t="e">
        <f t="shared" si="62"/>
        <v>#DIV/0!</v>
      </c>
      <c r="H64">
        <f t="shared" si="63"/>
        <v>0</v>
      </c>
      <c r="L64">
        <f t="shared" si="64"/>
        <v>0</v>
      </c>
      <c r="M64">
        <f t="shared" si="72"/>
        <v>0</v>
      </c>
      <c r="O64">
        <f t="shared" si="67"/>
        <v>0</v>
      </c>
    </row>
    <row r="65" spans="1:16" x14ac:dyDescent="0.25">
      <c r="E65" s="2" t="e">
        <f t="shared" si="62"/>
        <v>#DIV/0!</v>
      </c>
      <c r="H65">
        <f t="shared" si="63"/>
        <v>0</v>
      </c>
      <c r="L65">
        <f t="shared" si="64"/>
        <v>0</v>
      </c>
      <c r="M65">
        <f t="shared" si="72"/>
        <v>0</v>
      </c>
      <c r="O65">
        <f t="shared" si="67"/>
        <v>0</v>
      </c>
    </row>
    <row r="66" spans="1:16" x14ac:dyDescent="0.25">
      <c r="E66" s="2" t="e">
        <f t="shared" si="62"/>
        <v>#DIV/0!</v>
      </c>
      <c r="H66">
        <f t="shared" si="63"/>
        <v>0</v>
      </c>
      <c r="L66">
        <f t="shared" si="64"/>
        <v>0</v>
      </c>
      <c r="M66">
        <f t="shared" si="72"/>
        <v>0</v>
      </c>
      <c r="O66">
        <f t="shared" ref="O66" si="74">SUM(I66:N66)</f>
        <v>0</v>
      </c>
    </row>
    <row r="67" spans="1:16" x14ac:dyDescent="0.25">
      <c r="E67" s="2" t="e">
        <f t="shared" si="62"/>
        <v>#DIV/0!</v>
      </c>
      <c r="H67">
        <f t="shared" si="63"/>
        <v>0</v>
      </c>
      <c r="L67">
        <f t="shared" si="64"/>
        <v>0</v>
      </c>
      <c r="M67">
        <f t="shared" si="72"/>
        <v>0</v>
      </c>
      <c r="O67">
        <f t="shared" si="67"/>
        <v>0</v>
      </c>
    </row>
    <row r="68" spans="1:16" x14ac:dyDescent="0.25">
      <c r="E68" s="2" t="e">
        <f t="shared" si="62"/>
        <v>#DIV/0!</v>
      </c>
      <c r="H68">
        <f t="shared" si="63"/>
        <v>0</v>
      </c>
      <c r="L68">
        <f t="shared" si="64"/>
        <v>0</v>
      </c>
      <c r="M68">
        <f t="shared" si="72"/>
        <v>0</v>
      </c>
      <c r="O68">
        <f t="shared" si="67"/>
        <v>0</v>
      </c>
    </row>
    <row r="69" spans="1:16" x14ac:dyDescent="0.25">
      <c r="E69" s="2" t="e">
        <f t="shared" si="62"/>
        <v>#DIV/0!</v>
      </c>
      <c r="H69">
        <f t="shared" si="63"/>
        <v>0</v>
      </c>
      <c r="L69">
        <f t="shared" si="64"/>
        <v>0</v>
      </c>
      <c r="M69">
        <f t="shared" si="72"/>
        <v>0</v>
      </c>
      <c r="O69">
        <f t="shared" si="67"/>
        <v>0</v>
      </c>
    </row>
    <row r="70" spans="1:16" x14ac:dyDescent="0.25">
      <c r="A70" s="6"/>
      <c r="B70" s="4"/>
      <c r="C70" s="4"/>
      <c r="D70" s="4"/>
      <c r="E70" s="5" t="e">
        <f t="shared" si="62"/>
        <v>#DIV/0!</v>
      </c>
      <c r="F70" s="4"/>
      <c r="G70" s="4"/>
      <c r="H70" s="4">
        <f t="shared" si="63"/>
        <v>0</v>
      </c>
      <c r="I70" s="4"/>
      <c r="J70" s="4"/>
      <c r="K70" s="4"/>
      <c r="L70" s="4">
        <f t="shared" si="64"/>
        <v>0</v>
      </c>
      <c r="M70" s="4">
        <f t="shared" si="72"/>
        <v>0</v>
      </c>
      <c r="N70" s="4"/>
      <c r="O70" s="4">
        <f t="shared" si="67"/>
        <v>0</v>
      </c>
      <c r="P70" s="4"/>
    </row>
    <row r="71" spans="1:16" x14ac:dyDescent="0.25">
      <c r="E71" s="2" t="e">
        <f t="shared" si="62"/>
        <v>#DIV/0!</v>
      </c>
      <c r="H71">
        <f t="shared" si="63"/>
        <v>0</v>
      </c>
      <c r="L71">
        <f t="shared" si="64"/>
        <v>0</v>
      </c>
      <c r="M71">
        <f t="shared" si="72"/>
        <v>0</v>
      </c>
      <c r="O71">
        <f t="shared" si="67"/>
        <v>0</v>
      </c>
      <c r="P71" s="4"/>
    </row>
    <row r="72" spans="1:16" x14ac:dyDescent="0.25">
      <c r="E72" s="2" t="e">
        <f t="shared" si="62"/>
        <v>#DIV/0!</v>
      </c>
      <c r="H72">
        <f t="shared" si="63"/>
        <v>0</v>
      </c>
      <c r="L72">
        <f t="shared" si="64"/>
        <v>0</v>
      </c>
      <c r="M72">
        <f t="shared" si="72"/>
        <v>0</v>
      </c>
      <c r="O72">
        <f t="shared" si="67"/>
        <v>0</v>
      </c>
    </row>
    <row r="73" spans="1:16" x14ac:dyDescent="0.25">
      <c r="E73" s="2" t="e">
        <f t="shared" si="62"/>
        <v>#DIV/0!</v>
      </c>
      <c r="H73">
        <f t="shared" si="63"/>
        <v>0</v>
      </c>
      <c r="L73">
        <f t="shared" si="64"/>
        <v>0</v>
      </c>
      <c r="M73">
        <f t="shared" si="72"/>
        <v>0</v>
      </c>
      <c r="O73">
        <f t="shared" si="67"/>
        <v>0</v>
      </c>
    </row>
    <row r="74" spans="1:16" x14ac:dyDescent="0.25">
      <c r="A74" s="6"/>
      <c r="B74" s="4"/>
      <c r="C74" s="4"/>
      <c r="D74" s="4"/>
      <c r="E74" s="5" t="e">
        <f t="shared" si="62"/>
        <v>#DIV/0!</v>
      </c>
      <c r="F74" s="4"/>
      <c r="G74" s="4"/>
      <c r="H74" s="4">
        <f t="shared" si="63"/>
        <v>0</v>
      </c>
      <c r="I74" s="4"/>
      <c r="J74" s="4"/>
      <c r="K74" s="4"/>
      <c r="L74" s="4">
        <f t="shared" si="64"/>
        <v>0</v>
      </c>
      <c r="M74" s="4">
        <f t="shared" si="72"/>
        <v>0</v>
      </c>
      <c r="N74" s="4"/>
      <c r="O74" s="4">
        <f t="shared" si="67"/>
        <v>0</v>
      </c>
      <c r="P74" s="4"/>
    </row>
    <row r="75" spans="1:16" x14ac:dyDescent="0.25">
      <c r="A75" s="6"/>
      <c r="B75" s="4"/>
      <c r="C75" s="4"/>
      <c r="D75" s="4"/>
      <c r="E75" s="5" t="e">
        <f t="shared" si="62"/>
        <v>#DIV/0!</v>
      </c>
      <c r="F75" s="4"/>
      <c r="G75" s="4"/>
      <c r="H75" s="4">
        <f t="shared" si="63"/>
        <v>0</v>
      </c>
      <c r="I75" s="4"/>
      <c r="J75" s="4"/>
      <c r="K75" s="4"/>
      <c r="L75" s="4">
        <f t="shared" si="64"/>
        <v>0</v>
      </c>
      <c r="M75" s="4">
        <f t="shared" si="72"/>
        <v>0</v>
      </c>
      <c r="N75" s="4"/>
      <c r="O75" s="4">
        <f t="shared" si="67"/>
        <v>0</v>
      </c>
      <c r="P75" s="4"/>
    </row>
    <row r="76" spans="1:16" x14ac:dyDescent="0.25">
      <c r="A76" s="6"/>
      <c r="B76" s="4"/>
      <c r="C76" s="4"/>
      <c r="D76" s="4"/>
      <c r="E76" s="5" t="e">
        <f t="shared" si="62"/>
        <v>#DIV/0!</v>
      </c>
      <c r="F76" s="4"/>
      <c r="G76" s="4"/>
      <c r="H76" s="4">
        <f t="shared" si="63"/>
        <v>0</v>
      </c>
      <c r="I76" s="4"/>
      <c r="J76" s="4"/>
      <c r="K76" s="4"/>
      <c r="L76" s="4">
        <f t="shared" si="64"/>
        <v>0</v>
      </c>
      <c r="M76" s="4">
        <f t="shared" si="72"/>
        <v>0</v>
      </c>
      <c r="N76" s="4"/>
      <c r="O76" s="4">
        <f t="shared" si="67"/>
        <v>0</v>
      </c>
      <c r="P76" s="4"/>
    </row>
    <row r="77" spans="1:16" x14ac:dyDescent="0.25">
      <c r="A77" s="6"/>
      <c r="B77" s="4"/>
      <c r="C77" s="4"/>
      <c r="D77" s="4"/>
      <c r="E77" s="5" t="e">
        <f t="shared" si="62"/>
        <v>#DIV/0!</v>
      </c>
      <c r="F77" s="4"/>
      <c r="G77" s="4"/>
      <c r="H77" s="4">
        <f t="shared" si="63"/>
        <v>0</v>
      </c>
      <c r="I77" s="4"/>
      <c r="J77" s="4"/>
      <c r="K77" s="4"/>
      <c r="L77" s="4">
        <f t="shared" si="64"/>
        <v>0</v>
      </c>
      <c r="M77" s="4">
        <f t="shared" si="72"/>
        <v>0</v>
      </c>
      <c r="N77" s="4"/>
      <c r="O77" s="4">
        <f t="shared" si="67"/>
        <v>0</v>
      </c>
      <c r="P77" s="4"/>
    </row>
    <row r="78" spans="1:16" x14ac:dyDescent="0.25">
      <c r="A78" s="6"/>
      <c r="B78" s="4"/>
      <c r="C78" s="4"/>
      <c r="D78" s="4"/>
      <c r="E78" s="5" t="e">
        <f t="shared" si="62"/>
        <v>#DIV/0!</v>
      </c>
      <c r="F78" s="4"/>
      <c r="G78" s="4"/>
      <c r="H78" s="4">
        <f t="shared" si="63"/>
        <v>0</v>
      </c>
      <c r="I78" s="4"/>
      <c r="J78" s="4"/>
      <c r="K78" s="4"/>
      <c r="L78" s="4">
        <f t="shared" si="64"/>
        <v>0</v>
      </c>
      <c r="M78" s="4">
        <f t="shared" si="72"/>
        <v>0</v>
      </c>
      <c r="N78" s="4"/>
      <c r="O78" s="4">
        <f t="shared" si="67"/>
        <v>0</v>
      </c>
      <c r="P78" s="4"/>
    </row>
    <row r="79" spans="1:16" x14ac:dyDescent="0.25">
      <c r="A79" s="6"/>
      <c r="B79" s="4"/>
      <c r="C79" s="4"/>
      <c r="D79" s="4"/>
      <c r="E79" s="5" t="e">
        <f t="shared" si="62"/>
        <v>#DIV/0!</v>
      </c>
      <c r="F79" s="4"/>
      <c r="G79" s="4"/>
      <c r="H79" s="4">
        <f t="shared" si="63"/>
        <v>0</v>
      </c>
      <c r="I79" s="4"/>
      <c r="J79" s="4"/>
      <c r="K79" s="4"/>
      <c r="L79" s="4">
        <f t="shared" si="64"/>
        <v>0</v>
      </c>
      <c r="M79" s="4">
        <f t="shared" si="72"/>
        <v>0</v>
      </c>
      <c r="N79" s="4"/>
      <c r="O79" s="4">
        <f t="shared" ref="O79:O108" si="75">SUM(I79:N79)</f>
        <v>0</v>
      </c>
    </row>
    <row r="80" spans="1:16" x14ac:dyDescent="0.25">
      <c r="E80" s="2" t="e">
        <f t="shared" si="62"/>
        <v>#DIV/0!</v>
      </c>
      <c r="H80">
        <f t="shared" si="63"/>
        <v>0</v>
      </c>
      <c r="L80">
        <f t="shared" si="64"/>
        <v>0</v>
      </c>
      <c r="M80">
        <f t="shared" si="72"/>
        <v>0</v>
      </c>
      <c r="O80">
        <f t="shared" si="75"/>
        <v>0</v>
      </c>
    </row>
    <row r="81" spans="5:15" x14ac:dyDescent="0.25">
      <c r="E81" s="2" t="e">
        <f t="shared" si="62"/>
        <v>#DIV/0!</v>
      </c>
      <c r="H81">
        <f t="shared" si="63"/>
        <v>0</v>
      </c>
      <c r="L81">
        <f t="shared" si="64"/>
        <v>0</v>
      </c>
      <c r="M81">
        <f t="shared" si="72"/>
        <v>0</v>
      </c>
      <c r="O81">
        <f t="shared" si="75"/>
        <v>0</v>
      </c>
    </row>
    <row r="82" spans="5:15" x14ac:dyDescent="0.25">
      <c r="E82" s="2" t="e">
        <f t="shared" si="62"/>
        <v>#DIV/0!</v>
      </c>
      <c r="H82">
        <f t="shared" si="63"/>
        <v>0</v>
      </c>
      <c r="L82">
        <f t="shared" si="64"/>
        <v>0</v>
      </c>
      <c r="M82">
        <f t="shared" si="72"/>
        <v>0</v>
      </c>
      <c r="O82">
        <f t="shared" si="75"/>
        <v>0</v>
      </c>
    </row>
    <row r="83" spans="5:15" x14ac:dyDescent="0.25">
      <c r="E83" s="2" t="e">
        <f t="shared" si="62"/>
        <v>#DIV/0!</v>
      </c>
      <c r="H83">
        <f t="shared" si="63"/>
        <v>0</v>
      </c>
      <c r="L83">
        <f t="shared" si="64"/>
        <v>0</v>
      </c>
      <c r="M83">
        <f t="shared" si="72"/>
        <v>0</v>
      </c>
      <c r="O83">
        <f t="shared" si="75"/>
        <v>0</v>
      </c>
    </row>
    <row r="84" spans="5:15" x14ac:dyDescent="0.25">
      <c r="E84" s="2" t="e">
        <f t="shared" si="62"/>
        <v>#DIV/0!</v>
      </c>
      <c r="H84">
        <f t="shared" si="63"/>
        <v>0</v>
      </c>
      <c r="L84">
        <f t="shared" si="64"/>
        <v>0</v>
      </c>
      <c r="M84">
        <f t="shared" si="72"/>
        <v>0</v>
      </c>
      <c r="O84">
        <f t="shared" si="75"/>
        <v>0</v>
      </c>
    </row>
    <row r="85" spans="5:15" x14ac:dyDescent="0.25">
      <c r="E85" s="2" t="e">
        <f t="shared" si="62"/>
        <v>#DIV/0!</v>
      </c>
      <c r="H85">
        <f t="shared" si="63"/>
        <v>0</v>
      </c>
      <c r="L85">
        <f t="shared" si="64"/>
        <v>0</v>
      </c>
      <c r="M85">
        <f t="shared" si="72"/>
        <v>0</v>
      </c>
      <c r="O85">
        <f t="shared" si="75"/>
        <v>0</v>
      </c>
    </row>
    <row r="86" spans="5:15" x14ac:dyDescent="0.25">
      <c r="E86" s="2" t="e">
        <f t="shared" si="62"/>
        <v>#DIV/0!</v>
      </c>
      <c r="H86">
        <f t="shared" si="63"/>
        <v>0</v>
      </c>
      <c r="M86">
        <f t="shared" si="72"/>
        <v>0</v>
      </c>
      <c r="O86">
        <f t="shared" si="75"/>
        <v>0</v>
      </c>
    </row>
    <row r="87" spans="5:15" x14ac:dyDescent="0.25">
      <c r="E87" s="2" t="e">
        <f t="shared" si="62"/>
        <v>#DIV/0!</v>
      </c>
      <c r="H87">
        <f t="shared" si="63"/>
        <v>0</v>
      </c>
      <c r="M87">
        <f t="shared" si="72"/>
        <v>0</v>
      </c>
      <c r="O87">
        <f t="shared" si="75"/>
        <v>0</v>
      </c>
    </row>
    <row r="88" spans="5:15" x14ac:dyDescent="0.25">
      <c r="E88" s="2" t="e">
        <f t="shared" si="62"/>
        <v>#DIV/0!</v>
      </c>
      <c r="H88">
        <f t="shared" si="63"/>
        <v>0</v>
      </c>
      <c r="M88">
        <f t="shared" si="72"/>
        <v>0</v>
      </c>
      <c r="O88">
        <f t="shared" si="75"/>
        <v>0</v>
      </c>
    </row>
    <row r="89" spans="5:15" x14ac:dyDescent="0.25">
      <c r="E89" s="2" t="e">
        <f t="shared" si="62"/>
        <v>#DIV/0!</v>
      </c>
      <c r="H89">
        <f t="shared" si="63"/>
        <v>0</v>
      </c>
      <c r="M89">
        <f t="shared" si="72"/>
        <v>0</v>
      </c>
      <c r="O89">
        <f t="shared" si="75"/>
        <v>0</v>
      </c>
    </row>
    <row r="90" spans="5:15" x14ac:dyDescent="0.25">
      <c r="E90" s="2" t="e">
        <f t="shared" si="62"/>
        <v>#DIV/0!</v>
      </c>
      <c r="H90">
        <f t="shared" si="63"/>
        <v>0</v>
      </c>
      <c r="M90">
        <f t="shared" si="72"/>
        <v>0</v>
      </c>
      <c r="O90">
        <f t="shared" si="75"/>
        <v>0</v>
      </c>
    </row>
    <row r="91" spans="5:15" x14ac:dyDescent="0.25">
      <c r="E91" s="2" t="e">
        <f t="shared" si="62"/>
        <v>#DIV/0!</v>
      </c>
      <c r="H91">
        <f t="shared" si="63"/>
        <v>0</v>
      </c>
      <c r="M91">
        <f t="shared" si="72"/>
        <v>0</v>
      </c>
      <c r="O91">
        <f t="shared" si="75"/>
        <v>0</v>
      </c>
    </row>
    <row r="92" spans="5:15" x14ac:dyDescent="0.25">
      <c r="E92" s="2" t="e">
        <f t="shared" si="62"/>
        <v>#DIV/0!</v>
      </c>
      <c r="H92">
        <f t="shared" si="63"/>
        <v>0</v>
      </c>
      <c r="M92">
        <f t="shared" si="72"/>
        <v>0</v>
      </c>
      <c r="O92">
        <f t="shared" si="75"/>
        <v>0</v>
      </c>
    </row>
    <row r="93" spans="5:15" x14ac:dyDescent="0.25">
      <c r="E93" s="2" t="e">
        <f t="shared" si="62"/>
        <v>#DIV/0!</v>
      </c>
      <c r="H93">
        <f t="shared" si="63"/>
        <v>0</v>
      </c>
      <c r="M93">
        <f t="shared" si="72"/>
        <v>0</v>
      </c>
      <c r="O93">
        <f t="shared" si="75"/>
        <v>0</v>
      </c>
    </row>
    <row r="94" spans="5:15" x14ac:dyDescent="0.25">
      <c r="E94" s="2" t="e">
        <f t="shared" si="62"/>
        <v>#DIV/0!</v>
      </c>
      <c r="H94">
        <f t="shared" si="63"/>
        <v>0</v>
      </c>
      <c r="M94">
        <f t="shared" si="72"/>
        <v>0</v>
      </c>
      <c r="O94">
        <f t="shared" si="75"/>
        <v>0</v>
      </c>
    </row>
    <row r="95" spans="5:15" x14ac:dyDescent="0.25">
      <c r="E95" s="2" t="e">
        <f t="shared" si="62"/>
        <v>#DIV/0!</v>
      </c>
      <c r="H95">
        <f t="shared" si="63"/>
        <v>0</v>
      </c>
      <c r="M95">
        <f t="shared" si="72"/>
        <v>0</v>
      </c>
      <c r="O95">
        <f t="shared" si="75"/>
        <v>0</v>
      </c>
    </row>
    <row r="96" spans="5:15" x14ac:dyDescent="0.25">
      <c r="E96" s="2" t="e">
        <f t="shared" ref="E96:E108" si="76">(B96)/(B96+C96+D96)</f>
        <v>#DIV/0!</v>
      </c>
      <c r="H96">
        <f t="shared" ref="H96:H108" si="77">F96-G96</f>
        <v>0</v>
      </c>
      <c r="M96">
        <f t="shared" si="72"/>
        <v>0</v>
      </c>
      <c r="O96">
        <f t="shared" si="75"/>
        <v>0</v>
      </c>
    </row>
    <row r="97" spans="5:15" x14ac:dyDescent="0.25">
      <c r="E97" s="2" t="e">
        <f t="shared" si="76"/>
        <v>#DIV/0!</v>
      </c>
      <c r="H97">
        <f t="shared" si="77"/>
        <v>0</v>
      </c>
      <c r="M97">
        <f t="shared" si="72"/>
        <v>0</v>
      </c>
      <c r="O97">
        <f t="shared" si="75"/>
        <v>0</v>
      </c>
    </row>
    <row r="98" spans="5:15" x14ac:dyDescent="0.25">
      <c r="E98" s="2" t="e">
        <f t="shared" si="76"/>
        <v>#DIV/0!</v>
      </c>
      <c r="H98">
        <f t="shared" si="77"/>
        <v>0</v>
      </c>
      <c r="M98">
        <f t="shared" si="72"/>
        <v>0</v>
      </c>
      <c r="O98">
        <f t="shared" si="75"/>
        <v>0</v>
      </c>
    </row>
    <row r="99" spans="5:15" x14ac:dyDescent="0.25">
      <c r="E99" s="2" t="e">
        <f t="shared" si="76"/>
        <v>#DIV/0!</v>
      </c>
      <c r="H99">
        <f t="shared" si="77"/>
        <v>0</v>
      </c>
      <c r="M99">
        <f t="shared" si="72"/>
        <v>0</v>
      </c>
      <c r="O99">
        <f t="shared" si="75"/>
        <v>0</v>
      </c>
    </row>
    <row r="100" spans="5:15" x14ac:dyDescent="0.25">
      <c r="E100" s="2" t="e">
        <f t="shared" si="76"/>
        <v>#DIV/0!</v>
      </c>
      <c r="H100">
        <f t="shared" si="77"/>
        <v>0</v>
      </c>
      <c r="M100">
        <f t="shared" si="72"/>
        <v>0</v>
      </c>
      <c r="O100">
        <f t="shared" si="75"/>
        <v>0</v>
      </c>
    </row>
    <row r="101" spans="5:15" x14ac:dyDescent="0.25">
      <c r="E101" s="2" t="e">
        <f t="shared" si="76"/>
        <v>#DIV/0!</v>
      </c>
      <c r="H101">
        <f t="shared" si="77"/>
        <v>0</v>
      </c>
      <c r="M101">
        <f t="shared" si="72"/>
        <v>0</v>
      </c>
      <c r="O101">
        <f t="shared" si="75"/>
        <v>0</v>
      </c>
    </row>
    <row r="102" spans="5:15" x14ac:dyDescent="0.25">
      <c r="E102" s="2" t="e">
        <f t="shared" si="76"/>
        <v>#DIV/0!</v>
      </c>
      <c r="H102">
        <f t="shared" si="77"/>
        <v>0</v>
      </c>
      <c r="M102">
        <f t="shared" si="72"/>
        <v>0</v>
      </c>
      <c r="O102">
        <f t="shared" si="75"/>
        <v>0</v>
      </c>
    </row>
    <row r="103" spans="5:15" x14ac:dyDescent="0.25">
      <c r="E103" s="2" t="e">
        <f t="shared" si="76"/>
        <v>#DIV/0!</v>
      </c>
      <c r="H103">
        <f t="shared" si="77"/>
        <v>0</v>
      </c>
      <c r="M103">
        <f t="shared" si="72"/>
        <v>0</v>
      </c>
      <c r="O103">
        <f t="shared" si="75"/>
        <v>0</v>
      </c>
    </row>
    <row r="104" spans="5:15" x14ac:dyDescent="0.25">
      <c r="E104" s="2" t="e">
        <f t="shared" si="76"/>
        <v>#DIV/0!</v>
      </c>
      <c r="H104">
        <f t="shared" si="77"/>
        <v>0</v>
      </c>
      <c r="M104">
        <f t="shared" si="72"/>
        <v>0</v>
      </c>
      <c r="O104">
        <f t="shared" si="75"/>
        <v>0</v>
      </c>
    </row>
    <row r="105" spans="5:15" x14ac:dyDescent="0.25">
      <c r="E105" t="e">
        <f t="shared" si="76"/>
        <v>#DIV/0!</v>
      </c>
      <c r="H105">
        <f t="shared" si="77"/>
        <v>0</v>
      </c>
      <c r="M105">
        <f t="shared" si="72"/>
        <v>0</v>
      </c>
      <c r="O105">
        <f t="shared" si="75"/>
        <v>0</v>
      </c>
    </row>
    <row r="106" spans="5:15" x14ac:dyDescent="0.25">
      <c r="E106" t="e">
        <f t="shared" si="76"/>
        <v>#DIV/0!</v>
      </c>
      <c r="H106">
        <f t="shared" si="77"/>
        <v>0</v>
      </c>
      <c r="M106">
        <f t="shared" si="72"/>
        <v>0</v>
      </c>
      <c r="O106">
        <f t="shared" si="75"/>
        <v>0</v>
      </c>
    </row>
    <row r="107" spans="5:15" x14ac:dyDescent="0.25">
      <c r="E107" t="e">
        <f t="shared" si="76"/>
        <v>#DIV/0!</v>
      </c>
      <c r="H107">
        <f t="shared" si="77"/>
        <v>0</v>
      </c>
      <c r="M107">
        <f t="shared" si="72"/>
        <v>0</v>
      </c>
      <c r="O107">
        <f t="shared" si="75"/>
        <v>0</v>
      </c>
    </row>
    <row r="108" spans="5:15" x14ac:dyDescent="0.25">
      <c r="E108" t="e">
        <f t="shared" si="76"/>
        <v>#DIV/0!</v>
      </c>
      <c r="H108">
        <f t="shared" si="77"/>
        <v>0</v>
      </c>
      <c r="M108">
        <f t="shared" si="72"/>
        <v>0</v>
      </c>
      <c r="O108">
        <f t="shared" si="75"/>
        <v>0</v>
      </c>
    </row>
  </sheetData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A121"/>
  <sheetViews>
    <sheetView tabSelected="1" topLeftCell="A19" zoomScaleNormal="100" workbookViewId="0">
      <selection activeCell="A42" sqref="A42:XFD42"/>
    </sheetView>
  </sheetViews>
  <sheetFormatPr defaultRowHeight="15" x14ac:dyDescent="0.25"/>
  <cols>
    <col min="1" max="1" width="26.85546875" style="3" customWidth="1"/>
  </cols>
  <sheetData>
    <row r="1" spans="1:27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x14ac:dyDescent="0.25">
      <c r="A2" s="1" t="s">
        <v>16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P2" s="1"/>
    </row>
    <row r="3" spans="1:27" x14ac:dyDescent="0.25">
      <c r="A3" s="3" t="s">
        <v>59</v>
      </c>
      <c r="B3">
        <f>1+1+1</f>
        <v>3</v>
      </c>
      <c r="C3">
        <f>1+1+1+1+1+1+1+1+1+1+1+1+1</f>
        <v>13</v>
      </c>
      <c r="E3" s="2">
        <f t="shared" ref="E3:E8" si="0">(B3)/(B3+C3+D3)</f>
        <v>0.1875</v>
      </c>
      <c r="F3">
        <f>4+0+1+2+2+4+4+0+12+1+6+5+6+0+16+8</f>
        <v>71</v>
      </c>
      <c r="G3">
        <f>5+12+20+4+10+15+7+13+17+7+2+7+13+4+3</f>
        <v>139</v>
      </c>
      <c r="H3">
        <f t="shared" ref="H3:H8" si="1">F3-G3</f>
        <v>-68</v>
      </c>
      <c r="I3">
        <f>60</f>
        <v>60</v>
      </c>
      <c r="L3">
        <f t="shared" ref="L3:L6" si="2">B3*10</f>
        <v>30</v>
      </c>
      <c r="M3">
        <f t="shared" ref="M3:M8" si="3">D3*5</f>
        <v>0</v>
      </c>
      <c r="N3">
        <f>10+10+10+10</f>
        <v>40</v>
      </c>
      <c r="O3">
        <f t="shared" ref="O3" si="4">SUM(I3:N3)</f>
        <v>130</v>
      </c>
    </row>
    <row r="4" spans="1:27" x14ac:dyDescent="0.25">
      <c r="A4" s="3" t="s">
        <v>245</v>
      </c>
      <c r="B4">
        <f>1+1+1</f>
        <v>3</v>
      </c>
      <c r="C4">
        <f>1+1+1</f>
        <v>3</v>
      </c>
      <c r="E4" s="2">
        <f t="shared" si="0"/>
        <v>0.5</v>
      </c>
      <c r="F4">
        <f>20+4+9+8+5+6</f>
        <v>52</v>
      </c>
      <c r="G4">
        <f>2+9+5+7+7+12</f>
        <v>42</v>
      </c>
      <c r="H4">
        <f t="shared" si="1"/>
        <v>10</v>
      </c>
      <c r="L4">
        <f t="shared" si="2"/>
        <v>30</v>
      </c>
      <c r="M4">
        <f t="shared" si="3"/>
        <v>0</v>
      </c>
      <c r="N4">
        <f>10</f>
        <v>10</v>
      </c>
      <c r="O4">
        <f t="shared" ref="O4" si="5">SUM(I4:N4)</f>
        <v>40</v>
      </c>
    </row>
    <row r="5" spans="1:27" x14ac:dyDescent="0.25">
      <c r="A5" s="3" t="s">
        <v>225</v>
      </c>
      <c r="B5">
        <f>1+1+1+1</f>
        <v>4</v>
      </c>
      <c r="E5" s="2">
        <f t="shared" si="0"/>
        <v>1</v>
      </c>
      <c r="F5">
        <f>8+3+11+7</f>
        <v>29</v>
      </c>
      <c r="G5">
        <f>4+2+3+5</f>
        <v>14</v>
      </c>
      <c r="H5">
        <f t="shared" si="1"/>
        <v>15</v>
      </c>
      <c r="I5">
        <f>60</f>
        <v>60</v>
      </c>
      <c r="L5">
        <f t="shared" si="2"/>
        <v>40</v>
      </c>
      <c r="M5">
        <f t="shared" si="3"/>
        <v>0</v>
      </c>
      <c r="N5">
        <f>10</f>
        <v>10</v>
      </c>
      <c r="O5">
        <f t="shared" ref="O5:O6" si="6">SUM(I5:N5)</f>
        <v>110</v>
      </c>
    </row>
    <row r="6" spans="1:27" x14ac:dyDescent="0.25">
      <c r="A6" s="3" t="s">
        <v>241</v>
      </c>
      <c r="B6">
        <f>1+1</f>
        <v>2</v>
      </c>
      <c r="C6">
        <f>1+1+1+1</f>
        <v>4</v>
      </c>
      <c r="E6" s="2">
        <f t="shared" si="0"/>
        <v>0.33333333333333331</v>
      </c>
      <c r="F6">
        <f>0+2+5+13+12+1</f>
        <v>33</v>
      </c>
      <c r="G6">
        <f>1+11+10+2+4+9</f>
        <v>37</v>
      </c>
      <c r="H6">
        <f t="shared" si="1"/>
        <v>-4</v>
      </c>
      <c r="J6">
        <f>40</f>
        <v>40</v>
      </c>
      <c r="L6">
        <f t="shared" si="2"/>
        <v>20</v>
      </c>
      <c r="M6">
        <f t="shared" si="3"/>
        <v>0</v>
      </c>
      <c r="N6">
        <f>10</f>
        <v>10</v>
      </c>
      <c r="O6">
        <f t="shared" si="6"/>
        <v>70</v>
      </c>
    </row>
    <row r="7" spans="1:27" x14ac:dyDescent="0.25">
      <c r="A7" s="3" t="s">
        <v>242</v>
      </c>
      <c r="B7">
        <f>1+1</f>
        <v>2</v>
      </c>
      <c r="C7">
        <f>2+1</f>
        <v>3</v>
      </c>
      <c r="E7" s="2">
        <f t="shared" ref="E7" si="7">(B7)/(B7+C7+D7)</f>
        <v>0.4</v>
      </c>
      <c r="F7">
        <f>2+7+9+7</f>
        <v>25</v>
      </c>
      <c r="G7">
        <f>14+3+6+8</f>
        <v>31</v>
      </c>
      <c r="H7">
        <f t="shared" ref="H7" si="8">F7-G7</f>
        <v>-6</v>
      </c>
      <c r="L7">
        <f t="shared" ref="L7" si="9">B7*10</f>
        <v>20</v>
      </c>
      <c r="M7">
        <f t="shared" ref="M7" si="10">D7*5</f>
        <v>0</v>
      </c>
      <c r="N7">
        <f>10</f>
        <v>10</v>
      </c>
      <c r="O7">
        <f t="shared" ref="O7" si="11">SUM(I7:N7)</f>
        <v>30</v>
      </c>
    </row>
    <row r="8" spans="1:27" ht="14.25" customHeight="1" x14ac:dyDescent="0.25">
      <c r="A8" s="3" t="s">
        <v>150</v>
      </c>
      <c r="B8">
        <f>1+1</f>
        <v>2</v>
      </c>
      <c r="C8">
        <f>1+1+1+1+1+1</f>
        <v>6</v>
      </c>
      <c r="E8" s="2">
        <f t="shared" si="0"/>
        <v>0.25</v>
      </c>
      <c r="F8">
        <f>0+13+0+2+4+4+8+4</f>
        <v>35</v>
      </c>
      <c r="G8">
        <f>15+12+15+18+13+11+7+16</f>
        <v>107</v>
      </c>
      <c r="H8">
        <f t="shared" si="1"/>
        <v>-72</v>
      </c>
      <c r="K8">
        <f>20+20</f>
        <v>40</v>
      </c>
      <c r="L8">
        <v>0</v>
      </c>
      <c r="M8">
        <f t="shared" si="3"/>
        <v>0</v>
      </c>
      <c r="N8">
        <f>10+10</f>
        <v>20</v>
      </c>
      <c r="O8">
        <f t="shared" ref="O8" si="12">SUM(I8:N8)</f>
        <v>60</v>
      </c>
    </row>
    <row r="9" spans="1:27" x14ac:dyDescent="0.25">
      <c r="A9" s="3" t="s">
        <v>41</v>
      </c>
      <c r="B9">
        <f>1+1+1</f>
        <v>3</v>
      </c>
      <c r="C9">
        <f>1</f>
        <v>1</v>
      </c>
      <c r="E9" s="2">
        <f t="shared" ref="E9:E91" si="13">(B9)/(B9+C9+D9)</f>
        <v>0.75</v>
      </c>
      <c r="F9">
        <f>6+7+11+3</f>
        <v>27</v>
      </c>
      <c r="G9">
        <f>4+1+4+7</f>
        <v>16</v>
      </c>
      <c r="H9">
        <f t="shared" ref="H9:H91" si="14">F9-G9</f>
        <v>11</v>
      </c>
      <c r="L9">
        <f t="shared" ref="L9:L98" si="15">B9*10</f>
        <v>30</v>
      </c>
      <c r="M9">
        <f t="shared" ref="M9:M61" si="16">D9*5</f>
        <v>0</v>
      </c>
      <c r="N9">
        <f>10</f>
        <v>10</v>
      </c>
      <c r="O9">
        <f t="shared" ref="O9:O91" si="17">SUM(I9:N9)</f>
        <v>40</v>
      </c>
    </row>
    <row r="10" spans="1:27" x14ac:dyDescent="0.25">
      <c r="A10" s="3" t="s">
        <v>208</v>
      </c>
      <c r="B10">
        <f>1+1+1+1+1</f>
        <v>5</v>
      </c>
      <c r="C10">
        <f>1+1+1+1</f>
        <v>4</v>
      </c>
      <c r="E10" s="2">
        <f t="shared" si="13"/>
        <v>0.55555555555555558</v>
      </c>
      <c r="F10">
        <f>3+5+6+3+4+0+21+9+0</f>
        <v>51</v>
      </c>
      <c r="G10">
        <f>2+1+1+9+8+4+6+5+17</f>
        <v>53</v>
      </c>
      <c r="H10">
        <f t="shared" si="14"/>
        <v>-2</v>
      </c>
      <c r="J10">
        <f>40+40</f>
        <v>80</v>
      </c>
      <c r="L10">
        <f t="shared" si="15"/>
        <v>50</v>
      </c>
      <c r="M10">
        <f t="shared" si="16"/>
        <v>0</v>
      </c>
      <c r="N10">
        <f>10+10</f>
        <v>20</v>
      </c>
      <c r="O10">
        <f t="shared" ref="O10" si="18">SUM(I10:N10)</f>
        <v>150</v>
      </c>
    </row>
    <row r="11" spans="1:27" x14ac:dyDescent="0.25">
      <c r="A11" s="3" t="s">
        <v>58</v>
      </c>
      <c r="B11">
        <f>1+1</f>
        <v>2</v>
      </c>
      <c r="C11">
        <f>1+1</f>
        <v>2</v>
      </c>
      <c r="E11" s="2">
        <f t="shared" ref="E11" si="19">(B11)/(B11+C11+D11)</f>
        <v>0.5</v>
      </c>
      <c r="F11">
        <f>5+1+21+0</f>
        <v>27</v>
      </c>
      <c r="G11">
        <f>1+8+1+15</f>
        <v>25</v>
      </c>
      <c r="H11">
        <f t="shared" ref="H11" si="20">F11-G11</f>
        <v>2</v>
      </c>
      <c r="L11">
        <f t="shared" ref="L11" si="21">B11*10</f>
        <v>20</v>
      </c>
      <c r="M11">
        <f t="shared" ref="M11" si="22">D11*5</f>
        <v>0</v>
      </c>
      <c r="N11">
        <f>10</f>
        <v>10</v>
      </c>
      <c r="O11">
        <f t="shared" ref="O11" si="23">SUM(I11:N11)</f>
        <v>30</v>
      </c>
    </row>
    <row r="12" spans="1:27" x14ac:dyDescent="0.25">
      <c r="A12" s="3" t="s">
        <v>34</v>
      </c>
      <c r="B12">
        <f>1+1+1+1+1+1+1+1+1+1+1</f>
        <v>11</v>
      </c>
      <c r="C12">
        <f>1+1+1+1+1+1+1+1+1+1</f>
        <v>10</v>
      </c>
      <c r="E12" s="2">
        <f t="shared" si="13"/>
        <v>0.52380952380952384</v>
      </c>
      <c r="F12">
        <f>2+4+4+4+14+1+16+7+2+10+8+2+3+13+12+31+15+5+5+10+12+9</f>
        <v>189</v>
      </c>
      <c r="G12">
        <f>7+6+11+9+4+7+2+4+13+2+12+14+4+0+7+1+5+11+6+7+0+2</f>
        <v>134</v>
      </c>
      <c r="H12">
        <f t="shared" si="14"/>
        <v>55</v>
      </c>
      <c r="I12">
        <f>60+60</f>
        <v>120</v>
      </c>
      <c r="K12">
        <f>20+20</f>
        <v>40</v>
      </c>
      <c r="L12">
        <v>0</v>
      </c>
      <c r="M12">
        <f t="shared" si="16"/>
        <v>0</v>
      </c>
      <c r="N12">
        <f>10+10+10+10+10</f>
        <v>50</v>
      </c>
      <c r="O12">
        <f t="shared" si="17"/>
        <v>210</v>
      </c>
    </row>
    <row r="13" spans="1:27" ht="14.25" customHeight="1" x14ac:dyDescent="0.25">
      <c r="A13" s="3" t="s">
        <v>72</v>
      </c>
      <c r="B13">
        <f>1+1+1+1+1+1+1+1+1+1+1+1</f>
        <v>12</v>
      </c>
      <c r="C13">
        <f>1+1+1+1+1+1+1+1+1+1+1+1+1+1+1+1+1+1+1+1</f>
        <v>20</v>
      </c>
      <c r="E13" s="2">
        <f t="shared" ref="E13:E15" si="24">(B13)/(B13+C13+D13)</f>
        <v>0.375</v>
      </c>
      <c r="F13">
        <f>14+8+4+12+7+7+12+5+0+1+12+1+5+5+3+0+3+5+0+1+7+6+1+3+6+9+1+3+0+7+14+3</f>
        <v>165</v>
      </c>
      <c r="G13">
        <f>0+17+17+8+1+4+3+13+2+12+5+12+7+12+19+6+8+9+7+13+8+3+5+4+3+2+0+7+3+8+1+1</f>
        <v>220</v>
      </c>
      <c r="H13">
        <f t="shared" ref="H13:H15" si="25">F13-G13</f>
        <v>-55</v>
      </c>
      <c r="I13">
        <f>60+60</f>
        <v>120</v>
      </c>
      <c r="J13">
        <f>40</f>
        <v>40</v>
      </c>
      <c r="K13">
        <f>20+20</f>
        <v>40</v>
      </c>
      <c r="L13">
        <v>0</v>
      </c>
      <c r="M13">
        <f t="shared" si="16"/>
        <v>0</v>
      </c>
      <c r="N13">
        <f>10+10+10+10+10+10+10</f>
        <v>70</v>
      </c>
      <c r="O13">
        <f t="shared" ref="O13" si="26">SUM(I13:N13)</f>
        <v>270</v>
      </c>
    </row>
    <row r="14" spans="1:27" x14ac:dyDescent="0.25">
      <c r="A14" s="3" t="s">
        <v>155</v>
      </c>
      <c r="B14">
        <f>1+1+1</f>
        <v>3</v>
      </c>
      <c r="C14">
        <f>1</f>
        <v>1</v>
      </c>
      <c r="E14" s="2">
        <f t="shared" si="24"/>
        <v>0.75</v>
      </c>
      <c r="F14">
        <f>8+2+14+9</f>
        <v>33</v>
      </c>
      <c r="G14">
        <f>3+7+5+1</f>
        <v>16</v>
      </c>
      <c r="H14">
        <f t="shared" si="25"/>
        <v>17</v>
      </c>
      <c r="I14">
        <f>60</f>
        <v>60</v>
      </c>
      <c r="L14">
        <f t="shared" ref="L14" si="27">B14*10</f>
        <v>30</v>
      </c>
      <c r="M14">
        <f t="shared" ref="M14" si="28">D14*5</f>
        <v>0</v>
      </c>
      <c r="N14">
        <f>10</f>
        <v>10</v>
      </c>
      <c r="O14">
        <f t="shared" ref="O14" si="29">SUM(I14:N14)</f>
        <v>100</v>
      </c>
    </row>
    <row r="15" spans="1:27" x14ac:dyDescent="0.25">
      <c r="A15" s="3" t="s">
        <v>90</v>
      </c>
      <c r="B15">
        <f>1+1+1+1+1+1+1+1</f>
        <v>8</v>
      </c>
      <c r="C15">
        <f>1+1+1+1+1+1+1+1+1+1+1+1+1+1+1+1+1+1+1</f>
        <v>19</v>
      </c>
      <c r="D15">
        <f>1+1+1</f>
        <v>3</v>
      </c>
      <c r="E15" s="2">
        <f t="shared" si="24"/>
        <v>0.26666666666666666</v>
      </c>
      <c r="F15">
        <f>1+7+7+2+3+5+13+8+10+10+1+6+8+5+5+1+6+10+14+3+2+6+13+15+3+2+4+6+4+1</f>
        <v>181</v>
      </c>
      <c r="G15">
        <f>19+7+5+14+10+9+3+9+2+10+31+5+9+5+7+13+9+11+5+10+3+16+0+0+8+2+2+9+12+3</f>
        <v>248</v>
      </c>
      <c r="H15">
        <f t="shared" si="25"/>
        <v>-67</v>
      </c>
      <c r="J15">
        <f>40</f>
        <v>40</v>
      </c>
      <c r="L15">
        <f t="shared" ref="L15" si="30">B15*10</f>
        <v>80</v>
      </c>
      <c r="M15">
        <f t="shared" ref="M15" si="31">D15*5</f>
        <v>15</v>
      </c>
      <c r="N15">
        <f>10+10+10+10+10+10+10</f>
        <v>70</v>
      </c>
      <c r="O15">
        <f>SUM(I15:N15)</f>
        <v>205</v>
      </c>
    </row>
    <row r="16" spans="1:27" x14ac:dyDescent="0.25">
      <c r="A16" s="3" t="s">
        <v>54</v>
      </c>
      <c r="B16">
        <f>1+1+1+1+1</f>
        <v>5</v>
      </c>
      <c r="E16" s="2">
        <f t="shared" ref="E16" si="32">(B16)/(B16+C16+D16)</f>
        <v>1</v>
      </c>
      <c r="F16">
        <f>12+16+20+15+10</f>
        <v>73</v>
      </c>
      <c r="G16">
        <f>0+0+1+0+3</f>
        <v>4</v>
      </c>
      <c r="H16">
        <f t="shared" ref="H16" si="33">F16-G16</f>
        <v>69</v>
      </c>
      <c r="I16">
        <f>60</f>
        <v>60</v>
      </c>
      <c r="L16">
        <f t="shared" ref="L16" si="34">B16*10</f>
        <v>50</v>
      </c>
      <c r="M16">
        <f t="shared" si="16"/>
        <v>0</v>
      </c>
      <c r="N16">
        <f>10+10</f>
        <v>20</v>
      </c>
      <c r="O16">
        <f t="shared" ref="O16" si="35">SUM(I16:N16)</f>
        <v>130</v>
      </c>
    </row>
    <row r="17" spans="1:15" x14ac:dyDescent="0.25">
      <c r="A17" s="3" t="s">
        <v>35</v>
      </c>
      <c r="B17">
        <f>1+1+1+1+1+1+1+1</f>
        <v>8</v>
      </c>
      <c r="C17">
        <f>1+1+1+1+1+1+1+1+1+1+1+1</f>
        <v>12</v>
      </c>
      <c r="E17" s="2">
        <f t="shared" ref="E17:E23" si="36">(B17)/(B17+C17+D17)</f>
        <v>0.4</v>
      </c>
      <c r="F17">
        <f>4+13+14+7+10+7+5+18+6+2+3+0+5+7+15+5+0+12+12+3</f>
        <v>148</v>
      </c>
      <c r="G17">
        <f>6+4+8+3+11+6+6+5+10+11+5+6+6+8+4+14+14+3+2+9</f>
        <v>141</v>
      </c>
      <c r="J17">
        <f>40</f>
        <v>40</v>
      </c>
      <c r="K17">
        <f>20+20</f>
        <v>40</v>
      </c>
      <c r="L17">
        <f t="shared" ref="L17:L21" si="37">B17*10</f>
        <v>80</v>
      </c>
      <c r="M17">
        <f t="shared" si="16"/>
        <v>0</v>
      </c>
      <c r="N17">
        <f>10+10+10+10+10</f>
        <v>50</v>
      </c>
      <c r="O17">
        <f t="shared" ref="O17" si="38">SUM(I17:N17)</f>
        <v>210</v>
      </c>
    </row>
    <row r="18" spans="1:15" x14ac:dyDescent="0.25">
      <c r="A18" s="3" t="s">
        <v>210</v>
      </c>
      <c r="B18">
        <f>1+1+1+1</f>
        <v>4</v>
      </c>
      <c r="E18" s="2">
        <f t="shared" si="36"/>
        <v>1</v>
      </c>
      <c r="F18">
        <f>6+9+11+9</f>
        <v>35</v>
      </c>
      <c r="G18">
        <f>3+5+0+3</f>
        <v>11</v>
      </c>
      <c r="H18">
        <f t="shared" ref="H18" si="39">F18-G18</f>
        <v>24</v>
      </c>
      <c r="I18">
        <f>60</f>
        <v>60</v>
      </c>
      <c r="L18">
        <f t="shared" si="37"/>
        <v>40</v>
      </c>
      <c r="M18">
        <f t="shared" ref="M18" si="40">D18*5</f>
        <v>0</v>
      </c>
      <c r="N18">
        <f>10</f>
        <v>10</v>
      </c>
      <c r="O18">
        <f t="shared" ref="O18" si="41">SUM(I18:N18)</f>
        <v>110</v>
      </c>
    </row>
    <row r="19" spans="1:15" x14ac:dyDescent="0.25">
      <c r="A19" s="3" t="s">
        <v>55</v>
      </c>
      <c r="B19">
        <f>1+1+1+1+1+1+1+1+1+1+1+1+1+1+1+1+1+1+1</f>
        <v>19</v>
      </c>
      <c r="C19">
        <f>1+1+1+1+1+1+1+1+1+1+1+1+1+1+1</f>
        <v>15</v>
      </c>
      <c r="D19">
        <f>1+1</f>
        <v>2</v>
      </c>
      <c r="E19" s="2">
        <f t="shared" si="36"/>
        <v>0.52777777777777779</v>
      </c>
      <c r="F19">
        <f>0+8+1+4+0+7+3+1+2+3+3+3+6+11+4+9+2+13+4+3+5+8+3+1+12+11+6+9+7+6+7+10+5+12+0+1</f>
        <v>190</v>
      </c>
      <c r="G19">
        <f>12+1+23+2+15+1+7+22+6+7+1+1+0+2+10+7+10+5+3+2+6+2+0+3+1+3+11+3+8+6+7+2+1+7+4+2</f>
        <v>203</v>
      </c>
      <c r="H19">
        <f t="shared" ref="H19:H23" si="42">F19-G19</f>
        <v>-13</v>
      </c>
      <c r="I19">
        <f>60</f>
        <v>60</v>
      </c>
      <c r="J19">
        <f>40+40+40</f>
        <v>120</v>
      </c>
      <c r="K19">
        <f>20</f>
        <v>20</v>
      </c>
      <c r="L19">
        <f t="shared" si="37"/>
        <v>190</v>
      </c>
      <c r="M19">
        <f t="shared" si="16"/>
        <v>10</v>
      </c>
      <c r="N19">
        <f>10+10+10+10+10+10+10</f>
        <v>70</v>
      </c>
      <c r="O19">
        <f t="shared" ref="O19" si="43">SUM(I19:N19)</f>
        <v>470</v>
      </c>
    </row>
    <row r="20" spans="1:15" x14ac:dyDescent="0.25">
      <c r="A20" s="3" t="s">
        <v>211</v>
      </c>
      <c r="B20">
        <f>1+1+1</f>
        <v>3</v>
      </c>
      <c r="C20">
        <f>1+1</f>
        <v>2</v>
      </c>
      <c r="E20" s="2">
        <f t="shared" ref="E20" si="44">(B20)/(B20+C20+D20)</f>
        <v>0.6</v>
      </c>
      <c r="F20">
        <f>3+11+11+9+4</f>
        <v>38</v>
      </c>
      <c r="G20">
        <f>6+4+1+1+5</f>
        <v>17</v>
      </c>
      <c r="H20">
        <f t="shared" si="42"/>
        <v>21</v>
      </c>
      <c r="J20">
        <f>40</f>
        <v>40</v>
      </c>
      <c r="L20">
        <f t="shared" ref="L20" si="45">B20*10</f>
        <v>30</v>
      </c>
      <c r="M20">
        <f t="shared" si="16"/>
        <v>0</v>
      </c>
      <c r="N20">
        <f>10</f>
        <v>10</v>
      </c>
      <c r="O20">
        <f t="shared" ref="O20" si="46">SUM(I20:N20)</f>
        <v>80</v>
      </c>
    </row>
    <row r="21" spans="1:15" x14ac:dyDescent="0.25">
      <c r="A21" s="3" t="s">
        <v>190</v>
      </c>
      <c r="B21">
        <f>1+1+1+1+1+1+1+1+1</f>
        <v>9</v>
      </c>
      <c r="C21">
        <f>1+1+1+1+1+1+1+1+1+1+1+1+1</f>
        <v>13</v>
      </c>
      <c r="E21" s="2">
        <f t="shared" si="36"/>
        <v>0.40909090909090912</v>
      </c>
      <c r="F21">
        <f>12+7+7+13+6+3+11+5+8+2+16+5+9+1+11+2+14+2+10+7+12+1</f>
        <v>164</v>
      </c>
      <c r="G21">
        <f>5+9+10+6+7+8+5+14+7+5+6+6+10+6+1+9+2+4+5+8+6+2</f>
        <v>141</v>
      </c>
      <c r="H21">
        <f t="shared" si="42"/>
        <v>23</v>
      </c>
      <c r="J21">
        <f>40</f>
        <v>40</v>
      </c>
      <c r="K21">
        <f>20+20</f>
        <v>40</v>
      </c>
      <c r="L21">
        <f t="shared" si="37"/>
        <v>90</v>
      </c>
      <c r="M21">
        <f t="shared" ref="M21" si="47">D21*5</f>
        <v>0</v>
      </c>
      <c r="N21">
        <f>10+10+10+10</f>
        <v>40</v>
      </c>
      <c r="O21">
        <f t="shared" ref="O21" si="48">SUM(I21:N21)</f>
        <v>210</v>
      </c>
    </row>
    <row r="22" spans="1:15" ht="14.25" customHeight="1" x14ac:dyDescent="0.25">
      <c r="A22" s="3" t="s">
        <v>81</v>
      </c>
      <c r="B22">
        <f>1+1+1</f>
        <v>3</v>
      </c>
      <c r="C22">
        <f>1+1</f>
        <v>2</v>
      </c>
      <c r="E22" s="2">
        <f t="shared" si="36"/>
        <v>0.6</v>
      </c>
      <c r="F22">
        <f>22+4+7+10+1</f>
        <v>44</v>
      </c>
      <c r="G22">
        <f>2+6+4+6+13</f>
        <v>31</v>
      </c>
      <c r="H22">
        <f t="shared" si="42"/>
        <v>13</v>
      </c>
      <c r="J22">
        <f>40</f>
        <v>40</v>
      </c>
      <c r="L22">
        <v>0</v>
      </c>
      <c r="M22">
        <f t="shared" si="16"/>
        <v>0</v>
      </c>
      <c r="N22">
        <f>10</f>
        <v>10</v>
      </c>
      <c r="O22">
        <f t="shared" ref="O22" si="49">SUM(I22:N22)</f>
        <v>50</v>
      </c>
    </row>
    <row r="23" spans="1:15" x14ac:dyDescent="0.25">
      <c r="A23" s="3" t="s">
        <v>156</v>
      </c>
      <c r="B23">
        <f>1+1+1+1</f>
        <v>4</v>
      </c>
      <c r="C23">
        <f>1+1+1+1+1</f>
        <v>5</v>
      </c>
      <c r="D23">
        <f>1</f>
        <v>1</v>
      </c>
      <c r="E23" s="2">
        <f t="shared" si="36"/>
        <v>0.4</v>
      </c>
      <c r="F23">
        <f>0+10+10+1+11+6+7+18+16+0</f>
        <v>79</v>
      </c>
      <c r="G23">
        <f>7+10+8+9+5+17+9+2+5+12</f>
        <v>84</v>
      </c>
      <c r="H23">
        <f t="shared" si="42"/>
        <v>-5</v>
      </c>
      <c r="I23">
        <f>60</f>
        <v>60</v>
      </c>
      <c r="J23">
        <f>40</f>
        <v>40</v>
      </c>
      <c r="L23">
        <f t="shared" ref="L23" si="50">B23*10</f>
        <v>40</v>
      </c>
      <c r="M23">
        <f t="shared" si="16"/>
        <v>5</v>
      </c>
      <c r="N23">
        <f>10</f>
        <v>10</v>
      </c>
      <c r="O23">
        <f t="shared" ref="O23" si="51">SUM(I23:N23)</f>
        <v>155</v>
      </c>
    </row>
    <row r="24" spans="1:15" x14ac:dyDescent="0.25">
      <c r="A24" s="3" t="s">
        <v>36</v>
      </c>
      <c r="C24">
        <f>1+1+1+1</f>
        <v>4</v>
      </c>
      <c r="E24" s="2">
        <f t="shared" si="13"/>
        <v>0</v>
      </c>
      <c r="F24">
        <f>0+1+8+2</f>
        <v>11</v>
      </c>
      <c r="G24">
        <f>17+18+16+17</f>
        <v>68</v>
      </c>
      <c r="H24">
        <f t="shared" si="14"/>
        <v>-57</v>
      </c>
      <c r="L24">
        <f t="shared" si="15"/>
        <v>0</v>
      </c>
      <c r="M24">
        <f t="shared" si="16"/>
        <v>0</v>
      </c>
      <c r="N24">
        <f>10</f>
        <v>10</v>
      </c>
      <c r="O24">
        <f t="shared" si="17"/>
        <v>10</v>
      </c>
    </row>
    <row r="25" spans="1:15" x14ac:dyDescent="0.25">
      <c r="A25" s="3" t="s">
        <v>226</v>
      </c>
      <c r="C25">
        <f>1+1+1+1</f>
        <v>4</v>
      </c>
      <c r="E25" s="2">
        <f t="shared" ref="E25" si="52">(B25)/(B25+C25+D25)</f>
        <v>0</v>
      </c>
      <c r="F25">
        <f>7+3+6+5</f>
        <v>21</v>
      </c>
      <c r="G25">
        <f>16+11+16+9</f>
        <v>52</v>
      </c>
      <c r="H25">
        <f t="shared" ref="H25" si="53">F25-G25</f>
        <v>-31</v>
      </c>
      <c r="L25">
        <f t="shared" ref="L25" si="54">B25*10</f>
        <v>0</v>
      </c>
      <c r="M25">
        <f t="shared" ref="M25" si="55">D25*5</f>
        <v>0</v>
      </c>
      <c r="N25">
        <f>10</f>
        <v>10</v>
      </c>
      <c r="O25">
        <f t="shared" ref="O25" si="56">SUM(I25:N25)</f>
        <v>10</v>
      </c>
    </row>
    <row r="26" spans="1:15" x14ac:dyDescent="0.25">
      <c r="A26" s="3" t="s">
        <v>176</v>
      </c>
      <c r="B26">
        <f>1</f>
        <v>1</v>
      </c>
      <c r="C26">
        <f>1+1+1</f>
        <v>3</v>
      </c>
      <c r="E26" s="2">
        <f t="shared" si="13"/>
        <v>0.25</v>
      </c>
      <c r="F26">
        <f>16+6+5+0</f>
        <v>27</v>
      </c>
      <c r="G26">
        <f>7+21+18+15</f>
        <v>61</v>
      </c>
      <c r="H26">
        <f t="shared" si="14"/>
        <v>-34</v>
      </c>
      <c r="K26">
        <f>20</f>
        <v>20</v>
      </c>
      <c r="L26">
        <f t="shared" si="15"/>
        <v>10</v>
      </c>
      <c r="M26">
        <f t="shared" si="16"/>
        <v>0</v>
      </c>
      <c r="N26">
        <f>10</f>
        <v>10</v>
      </c>
      <c r="O26">
        <f t="shared" si="17"/>
        <v>40</v>
      </c>
    </row>
    <row r="27" spans="1:15" ht="14.25" customHeight="1" x14ac:dyDescent="0.25">
      <c r="A27" s="3" t="s">
        <v>82</v>
      </c>
      <c r="B27">
        <f>1+1+1+1+1</f>
        <v>5</v>
      </c>
      <c r="C27">
        <f>1+1+1+1</f>
        <v>4</v>
      </c>
      <c r="D27">
        <f>1</f>
        <v>1</v>
      </c>
      <c r="E27" s="2">
        <f t="shared" si="13"/>
        <v>0.5</v>
      </c>
      <c r="F27">
        <f>2+18+17+2+6+7+6+2+7+4</f>
        <v>71</v>
      </c>
      <c r="G27">
        <f>22+0+4+3+10+7+7+0+3+0</f>
        <v>56</v>
      </c>
      <c r="H27">
        <f t="shared" si="14"/>
        <v>15</v>
      </c>
      <c r="I27">
        <f>60</f>
        <v>60</v>
      </c>
      <c r="L27">
        <v>0</v>
      </c>
      <c r="M27">
        <f t="shared" ref="M27" si="57">D27*5</f>
        <v>5</v>
      </c>
      <c r="N27">
        <f>10+10</f>
        <v>20</v>
      </c>
      <c r="O27">
        <f t="shared" si="17"/>
        <v>85</v>
      </c>
    </row>
    <row r="28" spans="1:15" ht="14.25" customHeight="1" x14ac:dyDescent="0.25">
      <c r="A28" s="3" t="s">
        <v>76</v>
      </c>
      <c r="B28">
        <f>1+1+1+1+1+1+1+1+1+1+1+1+1+1+1+1+1+1+1+1+1+1+2</f>
        <v>24</v>
      </c>
      <c r="C28">
        <f>1+1+1+1+1+1+1+1+1+1+1+1+1+1+1+1+1+1+2</f>
        <v>20</v>
      </c>
      <c r="D28">
        <f>1</f>
        <v>1</v>
      </c>
      <c r="E28" s="2">
        <f t="shared" ref="E28:E29" si="58">(B28)/(B28+C28+D28)</f>
        <v>0.53333333333333333</v>
      </c>
      <c r="F28">
        <f>1+6+6+12+1+5+8+2+7+6+9+5+7+0+6+0+7+17+5+3+6+8+12+0+13+7+14+2+10+7+5+6+2+1+16+15+17+2+11+3+7+29</f>
        <v>306</v>
      </c>
      <c r="G28">
        <f>7+5+7+0+7+3+7+8+13+10+5+4+5+8+4+3+5+1+4+14+13+3+4+12+0+3+5+14+11+11+4+11+3+16+6+0+0+2+2+0+5+26</f>
        <v>271</v>
      </c>
      <c r="H28">
        <f t="shared" ref="H28:H29" si="59">F28-G28</f>
        <v>35</v>
      </c>
      <c r="I28">
        <f>60+60</f>
        <v>120</v>
      </c>
      <c r="J28">
        <f>40+40+40+40</f>
        <v>160</v>
      </c>
      <c r="K28">
        <f>20+20</f>
        <v>40</v>
      </c>
      <c r="L28">
        <v>0</v>
      </c>
      <c r="M28">
        <f t="shared" ref="M28:M29" si="60">D28*5</f>
        <v>5</v>
      </c>
      <c r="N28">
        <f>10+10+10+10+10+10+10+10+10+10</f>
        <v>100</v>
      </c>
      <c r="O28">
        <f t="shared" ref="O28" si="61">SUM(I28:N28)</f>
        <v>425</v>
      </c>
    </row>
    <row r="29" spans="1:15" x14ac:dyDescent="0.25">
      <c r="A29" s="3" t="s">
        <v>136</v>
      </c>
      <c r="B29">
        <f>1+1+1+1+1+1</f>
        <v>6</v>
      </c>
      <c r="C29">
        <f>1+1+1+1+1+1+1+1+1+1+1+1+1+1+1+1+1+1+1</f>
        <v>19</v>
      </c>
      <c r="E29" s="2">
        <f t="shared" si="58"/>
        <v>0.24</v>
      </c>
      <c r="F29">
        <f>7+3+4+9+2+2+2+5+1+7+0+12+0+2+4+6+3+6+11+4+0+0+2+1+1</f>
        <v>94</v>
      </c>
      <c r="G29">
        <f>9+12+5+8+0+3+5+12+20+5+3+0+13+11+6+5+13+20+6+6+3+17+10+5+7</f>
        <v>204</v>
      </c>
      <c r="H29">
        <f t="shared" si="59"/>
        <v>-110</v>
      </c>
      <c r="J29">
        <f>40+40</f>
        <v>80</v>
      </c>
      <c r="L29">
        <f t="shared" ref="L29" si="62">B29*10</f>
        <v>60</v>
      </c>
      <c r="M29">
        <f t="shared" si="60"/>
        <v>0</v>
      </c>
      <c r="N29">
        <f>10+10+10+10+10</f>
        <v>50</v>
      </c>
      <c r="O29">
        <f t="shared" ref="O29" si="63">SUM(I29:N29)</f>
        <v>190</v>
      </c>
    </row>
    <row r="30" spans="1:15" x14ac:dyDescent="0.25">
      <c r="A30" s="3" t="s">
        <v>37</v>
      </c>
      <c r="B30">
        <f>1+1+1+1+1+1+1+1+1+1+1+1+1+1+1+1+1+1+1+1+1</f>
        <v>21</v>
      </c>
      <c r="C30">
        <f>1+1+1+1+1+1+1+1+1+1+1+1+1+1+1+1</f>
        <v>16</v>
      </c>
      <c r="D30">
        <f>1</f>
        <v>1</v>
      </c>
      <c r="E30" s="2">
        <f t="shared" si="13"/>
        <v>0.55263157894736847</v>
      </c>
      <c r="F30">
        <f>6+4+16+17+11+7+1+1+15+1+3+7+12+6+14+11+20+5+3+17+7+7+5+8+7+1+6+14+0+11+13+7+6+4+6+5+7+7+1</f>
        <v>299</v>
      </c>
      <c r="G30">
        <f>5+13+8+2+10+6+5+9+0+5+8+12+9+8+0+10+1+7+11+6+10+6+16+3+0+9+2+1+10+3+6+4+9+6+3+6+12+10</f>
        <v>251</v>
      </c>
      <c r="H30">
        <f t="shared" si="14"/>
        <v>48</v>
      </c>
      <c r="I30">
        <f>60</f>
        <v>60</v>
      </c>
      <c r="J30">
        <f>40+40+40+40+40+40</f>
        <v>240</v>
      </c>
      <c r="L30">
        <f t="shared" si="15"/>
        <v>210</v>
      </c>
      <c r="M30">
        <f t="shared" ref="M30:M41" si="64">D30*5</f>
        <v>5</v>
      </c>
      <c r="N30">
        <f>10+10+10+10+10+10+10+10</f>
        <v>80</v>
      </c>
      <c r="O30">
        <f t="shared" si="17"/>
        <v>595</v>
      </c>
    </row>
    <row r="31" spans="1:15" x14ac:dyDescent="0.25">
      <c r="A31" s="3" t="s">
        <v>244</v>
      </c>
      <c r="C31">
        <f>1+1+1+1+1</f>
        <v>5</v>
      </c>
      <c r="E31" s="2">
        <f t="shared" si="13"/>
        <v>0</v>
      </c>
      <c r="F31">
        <f>2+0+0+2+1</f>
        <v>5</v>
      </c>
      <c r="G31">
        <f>20+8+15+13+14</f>
        <v>70</v>
      </c>
      <c r="H31">
        <f t="shared" si="14"/>
        <v>-65</v>
      </c>
      <c r="L31">
        <f t="shared" si="15"/>
        <v>0</v>
      </c>
      <c r="M31">
        <f t="shared" si="64"/>
        <v>0</v>
      </c>
      <c r="N31">
        <f>10</f>
        <v>10</v>
      </c>
      <c r="O31">
        <f t="shared" si="17"/>
        <v>10</v>
      </c>
    </row>
    <row r="32" spans="1:15" x14ac:dyDescent="0.25">
      <c r="A32" s="3" t="s">
        <v>153</v>
      </c>
      <c r="B32">
        <f>1+1+1+1+1+1+1+1+1+1+1+1+1+1+1+1+1+1+1+1</f>
        <v>20</v>
      </c>
      <c r="C32">
        <f>1+1+1+1+1+1+1</f>
        <v>7</v>
      </c>
      <c r="E32" s="2">
        <f t="shared" ref="E32:E34" si="65">(B32)/(B32+C32+D32)</f>
        <v>0.7407407407407407</v>
      </c>
      <c r="F32">
        <f>7+16+3+5+9+11+2+10+0+13+2+2+6+4+5+6+4+11+14+9+7+10+17+3+7+13+2</f>
        <v>198</v>
      </c>
      <c r="G32">
        <f>0+5+6+2+6+6+3+5+4+7+5+5+3+4+5+5+5+13+4+2+6+0+7+1+1+1</f>
        <v>111</v>
      </c>
      <c r="H32">
        <f t="shared" ref="H32:H34" si="66">F32-G32</f>
        <v>87</v>
      </c>
      <c r="I32">
        <f>60+60+60</f>
        <v>180</v>
      </c>
      <c r="K32">
        <f>20+20</f>
        <v>40</v>
      </c>
      <c r="L32">
        <f t="shared" ref="L32:L34" si="67">B32*10</f>
        <v>200</v>
      </c>
      <c r="M32">
        <f t="shared" ref="M32:M34" si="68">D32*5</f>
        <v>0</v>
      </c>
      <c r="N32">
        <f>10+20+10+10+10+10</f>
        <v>70</v>
      </c>
      <c r="O32">
        <f t="shared" ref="O32:O33" si="69">SUM(I32:N32)</f>
        <v>490</v>
      </c>
    </row>
    <row r="33" spans="1:15" x14ac:dyDescent="0.25">
      <c r="A33" s="3" t="s">
        <v>178</v>
      </c>
      <c r="C33">
        <f>1+1+1+1</f>
        <v>4</v>
      </c>
      <c r="E33" s="2">
        <f t="shared" si="65"/>
        <v>0</v>
      </c>
      <c r="F33">
        <f>4+0+5+0</f>
        <v>9</v>
      </c>
      <c r="G33">
        <f>13+19+14+15</f>
        <v>61</v>
      </c>
      <c r="H33">
        <f t="shared" si="66"/>
        <v>-52</v>
      </c>
      <c r="L33">
        <f t="shared" si="67"/>
        <v>0</v>
      </c>
      <c r="M33">
        <f t="shared" si="68"/>
        <v>0</v>
      </c>
      <c r="N33">
        <f>10</f>
        <v>10</v>
      </c>
      <c r="O33">
        <f t="shared" si="69"/>
        <v>10</v>
      </c>
    </row>
    <row r="34" spans="1:15" x14ac:dyDescent="0.25">
      <c r="A34" s="3" t="s">
        <v>243</v>
      </c>
      <c r="B34">
        <f>1+1+1</f>
        <v>3</v>
      </c>
      <c r="C34">
        <f>1+1</f>
        <v>2</v>
      </c>
      <c r="E34" s="2">
        <f t="shared" si="65"/>
        <v>0.6</v>
      </c>
      <c r="F34">
        <f>6+8+5+8+9</f>
        <v>36</v>
      </c>
      <c r="G34">
        <f>8+0+9+7+1</f>
        <v>25</v>
      </c>
      <c r="H34">
        <f t="shared" si="66"/>
        <v>11</v>
      </c>
      <c r="I34">
        <f>60</f>
        <v>60</v>
      </c>
      <c r="L34">
        <f t="shared" si="67"/>
        <v>30</v>
      </c>
      <c r="M34">
        <f t="shared" si="68"/>
        <v>0</v>
      </c>
      <c r="N34">
        <f>10</f>
        <v>10</v>
      </c>
      <c r="O34">
        <f t="shared" ref="O34" si="70">SUM(I34:N34)</f>
        <v>100</v>
      </c>
    </row>
    <row r="35" spans="1:15" x14ac:dyDescent="0.25">
      <c r="A35" s="3" t="s">
        <v>95</v>
      </c>
      <c r="B35">
        <f>1+1+1+1+1+1+1</f>
        <v>7</v>
      </c>
      <c r="C35">
        <f>1+1+1+1+1</f>
        <v>5</v>
      </c>
      <c r="E35" s="2">
        <f t="shared" ref="E35:E36" si="71">(B35)/(B35+C35+D35)</f>
        <v>0.58333333333333337</v>
      </c>
      <c r="F35">
        <f>1+6+10+0+0+4+7+8+15+2+15+2</f>
        <v>70</v>
      </c>
      <c r="G35">
        <f>3+2+4+10+13+2+4+6+0+4+0+5</f>
        <v>53</v>
      </c>
      <c r="H35">
        <f t="shared" ref="H35:H36" si="72">F35-G35</f>
        <v>17</v>
      </c>
      <c r="I35">
        <f>60</f>
        <v>60</v>
      </c>
      <c r="K35">
        <f>20</f>
        <v>20</v>
      </c>
      <c r="L35">
        <f t="shared" ref="L35:L36" si="73">B35*10</f>
        <v>70</v>
      </c>
      <c r="M35">
        <f t="shared" si="64"/>
        <v>0</v>
      </c>
      <c r="N35">
        <f>10+10+10</f>
        <v>30</v>
      </c>
      <c r="O35">
        <f t="shared" ref="O35" si="74">SUM(I35:N35)</f>
        <v>180</v>
      </c>
    </row>
    <row r="36" spans="1:15" x14ac:dyDescent="0.25">
      <c r="A36" s="3" t="s">
        <v>177</v>
      </c>
      <c r="B36">
        <f>1+1+1+1</f>
        <v>4</v>
      </c>
      <c r="C36">
        <f>1+1+1+1+1+1</f>
        <v>6</v>
      </c>
      <c r="E36" s="2">
        <f t="shared" si="71"/>
        <v>0.4</v>
      </c>
      <c r="F36">
        <f>13+3+12+4+3+7+5+6+5+6</f>
        <v>64</v>
      </c>
      <c r="G36">
        <f>4+11+1+7+2+5+6+7+11+7</f>
        <v>61</v>
      </c>
      <c r="H36">
        <f t="shared" si="72"/>
        <v>3</v>
      </c>
      <c r="I36">
        <f>60</f>
        <v>60</v>
      </c>
      <c r="L36">
        <f t="shared" si="73"/>
        <v>40</v>
      </c>
      <c r="M36">
        <f t="shared" si="64"/>
        <v>0</v>
      </c>
      <c r="N36">
        <f>10+10</f>
        <v>20</v>
      </c>
      <c r="O36">
        <f t="shared" ref="O36" si="75">SUM(I36:N36)</f>
        <v>120</v>
      </c>
    </row>
    <row r="37" spans="1:15" x14ac:dyDescent="0.25">
      <c r="A37" s="3" t="s">
        <v>93</v>
      </c>
      <c r="B37">
        <f>1+1+1+1</f>
        <v>4</v>
      </c>
      <c r="C37">
        <f>1+1</f>
        <v>2</v>
      </c>
      <c r="E37" s="2">
        <f t="shared" si="13"/>
        <v>0.66666666666666663</v>
      </c>
      <c r="F37">
        <f>6+7+8+14+13+0</f>
        <v>48</v>
      </c>
      <c r="G37">
        <f>9+1+5+2+2+1</f>
        <v>20</v>
      </c>
      <c r="H37">
        <f t="shared" si="14"/>
        <v>28</v>
      </c>
      <c r="J37">
        <f>40</f>
        <v>40</v>
      </c>
      <c r="L37">
        <f t="shared" si="15"/>
        <v>40</v>
      </c>
      <c r="M37">
        <f t="shared" si="64"/>
        <v>0</v>
      </c>
      <c r="N37">
        <f>10</f>
        <v>10</v>
      </c>
      <c r="O37">
        <f t="shared" ref="O37" si="76">SUM(I37:N37)</f>
        <v>90</v>
      </c>
    </row>
    <row r="38" spans="1:15" ht="14.25" customHeight="1" x14ac:dyDescent="0.25">
      <c r="A38" s="3" t="s">
        <v>77</v>
      </c>
      <c r="B38">
        <f>1</f>
        <v>1</v>
      </c>
      <c r="C38">
        <f>1+1+1+1+1+1+1+1+1+1+1+1+1+1+1</f>
        <v>15</v>
      </c>
      <c r="E38" s="2">
        <f t="shared" si="13"/>
        <v>6.25E-2</v>
      </c>
      <c r="F38">
        <f>1+5+5+8+3+0+5+4+9+1+6+1+3+0+7+0</f>
        <v>58</v>
      </c>
      <c r="G38">
        <f>16+13+18+12+5+11+7+7+8+2+11+17+4+15+8+15</f>
        <v>169</v>
      </c>
      <c r="H38">
        <f t="shared" si="14"/>
        <v>-111</v>
      </c>
      <c r="K38">
        <f>20</f>
        <v>20</v>
      </c>
      <c r="L38">
        <v>0</v>
      </c>
      <c r="M38">
        <f t="shared" si="64"/>
        <v>0</v>
      </c>
      <c r="N38">
        <f>10+10+10+10</f>
        <v>40</v>
      </c>
      <c r="O38">
        <f t="shared" si="17"/>
        <v>60</v>
      </c>
    </row>
    <row r="39" spans="1:15" ht="14.25" customHeight="1" x14ac:dyDescent="0.25">
      <c r="A39" s="3" t="s">
        <v>79</v>
      </c>
      <c r="B39">
        <f>1+1</f>
        <v>2</v>
      </c>
      <c r="C39">
        <f>1+1</f>
        <v>2</v>
      </c>
      <c r="E39" s="2">
        <f t="shared" si="13"/>
        <v>0.5</v>
      </c>
      <c r="F39">
        <f>6+6+15+1</f>
        <v>28</v>
      </c>
      <c r="G39">
        <f>7+4+5+12</f>
        <v>28</v>
      </c>
      <c r="H39">
        <f t="shared" si="14"/>
        <v>0</v>
      </c>
      <c r="K39">
        <f>20</f>
        <v>20</v>
      </c>
      <c r="L39">
        <v>0</v>
      </c>
      <c r="M39">
        <f t="shared" si="64"/>
        <v>0</v>
      </c>
      <c r="N39">
        <f>10</f>
        <v>10</v>
      </c>
      <c r="O39">
        <f t="shared" si="17"/>
        <v>30</v>
      </c>
    </row>
    <row r="40" spans="1:15" x14ac:dyDescent="0.25">
      <c r="A40" s="3" t="s">
        <v>53</v>
      </c>
      <c r="B40">
        <f>1+1+1+1+1</f>
        <v>5</v>
      </c>
      <c r="C40">
        <f>1+1+1+1+1+1+1+1+1+1+1</f>
        <v>11</v>
      </c>
      <c r="D40">
        <f>1</f>
        <v>1</v>
      </c>
      <c r="E40" s="2">
        <f t="shared" si="13"/>
        <v>0.29411764705882354</v>
      </c>
      <c r="F40">
        <f>0+4+1+1+4+4+5+0+9+3+9+7+1+4+5+1+3</f>
        <v>61</v>
      </c>
      <c r="G40">
        <f>13+8+21+16+6+6+5+12+5+6+6+5+0+3+9+11+6</f>
        <v>138</v>
      </c>
      <c r="H40">
        <f t="shared" si="14"/>
        <v>-77</v>
      </c>
      <c r="I40">
        <f>60</f>
        <v>60</v>
      </c>
      <c r="L40">
        <f t="shared" si="15"/>
        <v>50</v>
      </c>
      <c r="M40">
        <f t="shared" si="64"/>
        <v>5</v>
      </c>
      <c r="N40">
        <f>10+10+10+10</f>
        <v>40</v>
      </c>
      <c r="O40">
        <f t="shared" si="17"/>
        <v>155</v>
      </c>
    </row>
    <row r="41" spans="1:15" ht="14.25" customHeight="1" x14ac:dyDescent="0.25">
      <c r="A41" s="3" t="s">
        <v>202</v>
      </c>
      <c r="B41">
        <f>1</f>
        <v>1</v>
      </c>
      <c r="C41">
        <f>1+1+1+1</f>
        <v>4</v>
      </c>
      <c r="E41" s="2">
        <f t="shared" si="13"/>
        <v>0.2</v>
      </c>
      <c r="F41">
        <f>0+3+5+6+5</f>
        <v>19</v>
      </c>
      <c r="G41">
        <f>12+7+11+4+7</f>
        <v>41</v>
      </c>
      <c r="H41">
        <f t="shared" si="14"/>
        <v>-22</v>
      </c>
      <c r="L41">
        <v>0</v>
      </c>
      <c r="M41">
        <f t="shared" si="64"/>
        <v>0</v>
      </c>
      <c r="N41">
        <f>10</f>
        <v>10</v>
      </c>
      <c r="O41">
        <f t="shared" ref="O41" si="77">SUM(I41:N41)</f>
        <v>10</v>
      </c>
    </row>
    <row r="42" spans="1:15" x14ac:dyDescent="0.25">
      <c r="A42" s="3" t="s">
        <v>154</v>
      </c>
      <c r="B42">
        <f>1+1+1+1+1+1+1+1+1+1+4</f>
        <v>14</v>
      </c>
      <c r="C42">
        <f>1+1+1+1+1+1+1+1+1+6</f>
        <v>15</v>
      </c>
      <c r="E42" s="2">
        <f t="shared" ref="E42:E46" si="78">(B42)/(B42+C42+D42)</f>
        <v>0.48275862068965519</v>
      </c>
      <c r="F42">
        <f>8+5+9+4+19+10+7+12+5+11+20+7+13+2+3+3+0+10+1+62</f>
        <v>211</v>
      </c>
      <c r="G42">
        <f>7+16+12+5+3+7+6+0+6+7+6+6+14+7+0+5+2+1+13+55</f>
        <v>178</v>
      </c>
      <c r="H42">
        <f t="shared" ref="H42:H46" si="79">F42-G42</f>
        <v>33</v>
      </c>
      <c r="I42">
        <f>60</f>
        <v>60</v>
      </c>
      <c r="J42">
        <f>40</f>
        <v>40</v>
      </c>
      <c r="K42">
        <f>20+20</f>
        <v>40</v>
      </c>
      <c r="L42">
        <f t="shared" ref="L42:L44" si="80">B42*10</f>
        <v>140</v>
      </c>
      <c r="M42">
        <f t="shared" ref="M42" si="81">D42*5</f>
        <v>0</v>
      </c>
      <c r="N42">
        <f>10+10+10+10+10+10</f>
        <v>60</v>
      </c>
      <c r="O42">
        <f t="shared" ref="O42" si="82">SUM(I42:N42)</f>
        <v>340</v>
      </c>
    </row>
    <row r="43" spans="1:15" x14ac:dyDescent="0.25">
      <c r="A43" s="3" t="s">
        <v>56</v>
      </c>
      <c r="B43">
        <f>1+1+1+1</f>
        <v>4</v>
      </c>
      <c r="C43">
        <f>1+1+1+1+1+1</f>
        <v>6</v>
      </c>
      <c r="E43" s="2">
        <f t="shared" si="78"/>
        <v>0.4</v>
      </c>
      <c r="F43">
        <f>1+8+6+5+5+5+2+1+6+2</f>
        <v>41</v>
      </c>
      <c r="G43">
        <f>12+4+7+4+1+8+6+3+5+11</f>
        <v>61</v>
      </c>
      <c r="H43">
        <f t="shared" si="79"/>
        <v>-20</v>
      </c>
      <c r="I43">
        <f>60</f>
        <v>60</v>
      </c>
      <c r="L43">
        <f t="shared" si="80"/>
        <v>40</v>
      </c>
      <c r="M43">
        <f t="shared" ref="M43" si="83">D43*5</f>
        <v>0</v>
      </c>
      <c r="N43">
        <f>10+10</f>
        <v>20</v>
      </c>
      <c r="O43">
        <f t="shared" ref="O43" si="84">SUM(I43:N43)</f>
        <v>120</v>
      </c>
    </row>
    <row r="44" spans="1:15" ht="16.5" customHeight="1" x14ac:dyDescent="0.25">
      <c r="A44" s="3" t="s">
        <v>52</v>
      </c>
      <c r="B44">
        <f>1+1+1+1+1+1+1+1+1+1+1+1+1+1+1+1+1+1+1+1+1+1+1+1+1+1+1+1</f>
        <v>28</v>
      </c>
      <c r="C44">
        <f>1+1+1+1+1+1+1+1</f>
        <v>8</v>
      </c>
      <c r="E44" s="2">
        <f t="shared" si="78"/>
        <v>0.77777777777777779</v>
      </c>
      <c r="F44">
        <f>13+5+9+5+16+7+7+12+13+8+3+5+0+5+2+6+5+3+6+11+13+3+11+6+9+5+2+4+11+11+7+1+4+16+18+5</f>
        <v>267</v>
      </c>
      <c r="G44">
        <f>0+4+1+11+1+3+6+1+1+5+6+3+7+2+4+3+15+9+4+6+1+1+3+5+7+2+9+0+2+6+2+0+0+1+5+7</f>
        <v>143</v>
      </c>
      <c r="H44">
        <f t="shared" si="79"/>
        <v>124</v>
      </c>
      <c r="I44">
        <f>60+60</f>
        <v>120</v>
      </c>
      <c r="J44">
        <f>40+40+40</f>
        <v>120</v>
      </c>
      <c r="K44">
        <f>20+20</f>
        <v>40</v>
      </c>
      <c r="L44">
        <f t="shared" si="80"/>
        <v>280</v>
      </c>
      <c r="M44">
        <f t="shared" ref="M44:M46" si="85">D44*5</f>
        <v>0</v>
      </c>
      <c r="N44">
        <f>10+10+10+10+10+10+10+10</f>
        <v>80</v>
      </c>
      <c r="O44">
        <f t="shared" ref="O44:O45" si="86">SUM(I44:N44)</f>
        <v>640</v>
      </c>
    </row>
    <row r="45" spans="1:15" ht="14.25" customHeight="1" x14ac:dyDescent="0.25">
      <c r="A45" s="3" t="s">
        <v>80</v>
      </c>
      <c r="C45">
        <f>1+1+1+1</f>
        <v>4</v>
      </c>
      <c r="E45" s="2">
        <f t="shared" si="78"/>
        <v>0</v>
      </c>
      <c r="F45">
        <f>0+0+5+0</f>
        <v>5</v>
      </c>
      <c r="G45">
        <f>14+18+15+12</f>
        <v>59</v>
      </c>
      <c r="H45">
        <f t="shared" si="79"/>
        <v>-54</v>
      </c>
      <c r="L45">
        <v>0</v>
      </c>
      <c r="M45">
        <f t="shared" si="85"/>
        <v>0</v>
      </c>
      <c r="N45">
        <f>10</f>
        <v>10</v>
      </c>
      <c r="O45">
        <f t="shared" si="86"/>
        <v>10</v>
      </c>
    </row>
    <row r="46" spans="1:15" x14ac:dyDescent="0.25">
      <c r="A46" s="3" t="s">
        <v>92</v>
      </c>
      <c r="B46">
        <f>1+1+1+1+1+1</f>
        <v>6</v>
      </c>
      <c r="C46">
        <f>1+1+1</f>
        <v>3</v>
      </c>
      <c r="E46" s="2">
        <f t="shared" si="78"/>
        <v>0.66666666666666663</v>
      </c>
      <c r="F46">
        <f>9+12+2+13+1+9+14+6+4</f>
        <v>70</v>
      </c>
      <c r="G46">
        <f>6+8+16+7+10+7+3+0+12</f>
        <v>69</v>
      </c>
      <c r="H46">
        <f t="shared" si="79"/>
        <v>1</v>
      </c>
      <c r="K46">
        <f>20</f>
        <v>20</v>
      </c>
      <c r="L46">
        <f t="shared" ref="L46" si="87">B46*10</f>
        <v>60</v>
      </c>
      <c r="M46">
        <f t="shared" si="85"/>
        <v>0</v>
      </c>
      <c r="N46">
        <f>10+10</f>
        <v>20</v>
      </c>
      <c r="O46">
        <f t="shared" ref="O46" si="88">SUM(I46:N46)</f>
        <v>100</v>
      </c>
    </row>
    <row r="47" spans="1:15" x14ac:dyDescent="0.25">
      <c r="A47" s="3" t="s">
        <v>39</v>
      </c>
      <c r="B47">
        <f>1+1+1+1+1+1+1+1+1+1+1+1+1+1</f>
        <v>14</v>
      </c>
      <c r="C47">
        <f>1+1+1+1+1</f>
        <v>5</v>
      </c>
      <c r="E47" s="2">
        <f t="shared" si="13"/>
        <v>0.73684210526315785</v>
      </c>
      <c r="F47">
        <f>17+6+8+5+11+6+13+22+3+7+9+2+2+12+2+3+7+15+3</f>
        <v>153</v>
      </c>
      <c r="G47">
        <f>0+4+14+0+10+7+5+1+2+3+3+8+1+0+7+12+4+0+0</f>
        <v>81</v>
      </c>
      <c r="H47">
        <f t="shared" si="14"/>
        <v>72</v>
      </c>
      <c r="I47">
        <f>60+60+60+60</f>
        <v>240</v>
      </c>
      <c r="L47">
        <f t="shared" si="15"/>
        <v>140</v>
      </c>
      <c r="M47">
        <f t="shared" si="16"/>
        <v>0</v>
      </c>
      <c r="N47">
        <f>10+10+10+10</f>
        <v>40</v>
      </c>
      <c r="O47">
        <f t="shared" si="17"/>
        <v>420</v>
      </c>
    </row>
    <row r="48" spans="1:15" x14ac:dyDescent="0.25">
      <c r="A48" s="3" t="s">
        <v>209</v>
      </c>
      <c r="B48">
        <f>1+1+1+1+1+1+1</f>
        <v>7</v>
      </c>
      <c r="C48">
        <f>1+1</f>
        <v>2</v>
      </c>
      <c r="E48" s="2">
        <f t="shared" ref="E48" si="89">(B48)/(B48+C48+D48)</f>
        <v>0.77777777777777779</v>
      </c>
      <c r="F48">
        <f>3+7+10+1+8+9+15+8+2</f>
        <v>63</v>
      </c>
      <c r="G48">
        <f>6+6+9+9+6+4+0+7+1</f>
        <v>48</v>
      </c>
      <c r="H48">
        <f t="shared" ref="H48" si="90">F48-G48</f>
        <v>15</v>
      </c>
      <c r="J48">
        <f>40</f>
        <v>40</v>
      </c>
      <c r="K48">
        <f>20</f>
        <v>20</v>
      </c>
      <c r="L48">
        <f t="shared" ref="L48" si="91">B48*10</f>
        <v>70</v>
      </c>
      <c r="M48">
        <f t="shared" ref="M48" si="92">D48*5</f>
        <v>0</v>
      </c>
      <c r="N48">
        <f>10+10</f>
        <v>20</v>
      </c>
      <c r="O48">
        <f t="shared" ref="O48" si="93">SUM(I48:N48)</f>
        <v>150</v>
      </c>
    </row>
    <row r="49" spans="1:15" ht="14.25" customHeight="1" x14ac:dyDescent="0.25">
      <c r="A49" s="3" t="s">
        <v>78</v>
      </c>
      <c r="B49">
        <f>1+1+1+1+1+1+1</f>
        <v>7</v>
      </c>
      <c r="C49">
        <f>1+1</f>
        <v>2</v>
      </c>
      <c r="E49" s="2">
        <f t="shared" ref="E49" si="94">(B49)/(B49+C49+D49)</f>
        <v>0.77777777777777779</v>
      </c>
      <c r="F49">
        <f>7+17+4+6+7+19+2+10+8</f>
        <v>80</v>
      </c>
      <c r="G49">
        <f>6+8+7+2+2+0+12+3+7</f>
        <v>47</v>
      </c>
      <c r="H49">
        <f t="shared" ref="H49" si="95">F49-G49</f>
        <v>33</v>
      </c>
      <c r="I49">
        <f>60</f>
        <v>60</v>
      </c>
      <c r="K49">
        <f>20</f>
        <v>20</v>
      </c>
      <c r="L49">
        <v>0</v>
      </c>
      <c r="M49">
        <f t="shared" si="16"/>
        <v>0</v>
      </c>
      <c r="N49">
        <f>10+10</f>
        <v>20</v>
      </c>
      <c r="O49">
        <f t="shared" ref="O49" si="96">SUM(I49:N49)</f>
        <v>100</v>
      </c>
    </row>
    <row r="50" spans="1:15" x14ac:dyDescent="0.25">
      <c r="A50" s="3" t="s">
        <v>40</v>
      </c>
      <c r="B50">
        <f>1+1+1+1+1+1+1+1+1+1+1+1+1+1+1+1+1+1+1</f>
        <v>19</v>
      </c>
      <c r="C50">
        <f>1+1+1+1+1+1+1</f>
        <v>7</v>
      </c>
      <c r="E50" s="2">
        <f t="shared" si="13"/>
        <v>0.73076923076923073</v>
      </c>
      <c r="F50">
        <f>7+9+18+0+6+0+7+16+4+19+11+8+12+10+1+8+12+0+4+8+2+7+8+15+4+17</f>
        <v>213</v>
      </c>
      <c r="G50">
        <f>2+6+1+5+7+16+6+1+5+1+0+2+6+1+0+0+8+2+3+0+5+2+10+0+2+1</f>
        <v>92</v>
      </c>
      <c r="H50">
        <f t="shared" si="14"/>
        <v>121</v>
      </c>
      <c r="I50">
        <f>60+60</f>
        <v>120</v>
      </c>
      <c r="K50">
        <f>20+20+20</f>
        <v>60</v>
      </c>
      <c r="L50">
        <f t="shared" si="15"/>
        <v>190</v>
      </c>
      <c r="M50">
        <f t="shared" si="16"/>
        <v>0</v>
      </c>
      <c r="N50">
        <f>10+10+10+10+10+10</f>
        <v>60</v>
      </c>
      <c r="O50">
        <f t="shared" si="17"/>
        <v>430</v>
      </c>
    </row>
    <row r="51" spans="1:15" x14ac:dyDescent="0.25">
      <c r="A51" s="3" t="s">
        <v>135</v>
      </c>
      <c r="B51">
        <f>1+1</f>
        <v>2</v>
      </c>
      <c r="C51">
        <f>1+1</f>
        <v>2</v>
      </c>
      <c r="E51" s="2">
        <f t="shared" ref="E51" si="97">(B51)/(B51+C51+D51)</f>
        <v>0.5</v>
      </c>
      <c r="F51">
        <f>10+1+2+5</f>
        <v>18</v>
      </c>
      <c r="G51">
        <f>3+4+0+7</f>
        <v>14</v>
      </c>
      <c r="H51">
        <f t="shared" ref="H51" si="98">F51-G51</f>
        <v>4</v>
      </c>
      <c r="K51">
        <f>20</f>
        <v>20</v>
      </c>
      <c r="L51">
        <f t="shared" ref="L51" si="99">B51*10</f>
        <v>20</v>
      </c>
      <c r="M51">
        <f t="shared" si="16"/>
        <v>0</v>
      </c>
      <c r="N51">
        <f>10</f>
        <v>10</v>
      </c>
      <c r="O51">
        <f t="shared" ref="O51" si="100">SUM(I51:N51)</f>
        <v>50</v>
      </c>
    </row>
    <row r="52" spans="1:15" x14ac:dyDescent="0.25">
      <c r="A52" s="3" t="s">
        <v>57</v>
      </c>
      <c r="B52">
        <f>1+1+1+1</f>
        <v>4</v>
      </c>
      <c r="C52">
        <f>1+1</f>
        <v>2</v>
      </c>
      <c r="E52" s="2">
        <f t="shared" si="13"/>
        <v>0.66666666666666663</v>
      </c>
      <c r="F52">
        <f>12+12+23+11+3+6</f>
        <v>67</v>
      </c>
      <c r="G52">
        <f>1+0+1+5+10+12</f>
        <v>29</v>
      </c>
      <c r="H52">
        <f t="shared" si="14"/>
        <v>38</v>
      </c>
      <c r="J52">
        <f>40</f>
        <v>40</v>
      </c>
      <c r="L52">
        <f t="shared" si="15"/>
        <v>40</v>
      </c>
      <c r="M52">
        <f t="shared" si="16"/>
        <v>0</v>
      </c>
      <c r="N52">
        <f>10</f>
        <v>10</v>
      </c>
      <c r="O52">
        <f t="shared" si="17"/>
        <v>90</v>
      </c>
    </row>
    <row r="53" spans="1:15" x14ac:dyDescent="0.25">
      <c r="A53" s="3" t="s">
        <v>94</v>
      </c>
      <c r="B53">
        <f>1+1+1+1+1</f>
        <v>5</v>
      </c>
      <c r="C53">
        <f>1</f>
        <v>1</v>
      </c>
      <c r="E53" s="2">
        <f t="shared" ref="E53" si="101">(B53)/(B53+C53+D53)</f>
        <v>0.83333333333333337</v>
      </c>
      <c r="F53">
        <f>11+6+4+7+10+10</f>
        <v>48</v>
      </c>
      <c r="G53">
        <f>2+3+10+0+0+4</f>
        <v>19</v>
      </c>
      <c r="H53">
        <f t="shared" ref="H53" si="102">F53-G53</f>
        <v>29</v>
      </c>
      <c r="I53">
        <f>60</f>
        <v>60</v>
      </c>
      <c r="L53">
        <f t="shared" ref="L53" si="103">B53*10</f>
        <v>50</v>
      </c>
      <c r="M53">
        <f t="shared" ref="M53" si="104">D53*5</f>
        <v>0</v>
      </c>
      <c r="N53">
        <f>10</f>
        <v>10</v>
      </c>
      <c r="O53">
        <f t="shared" ref="O53" si="105">SUM(I53:N53)</f>
        <v>120</v>
      </c>
    </row>
    <row r="54" spans="1:15" x14ac:dyDescent="0.25">
      <c r="A54" s="3" t="s">
        <v>91</v>
      </c>
      <c r="B54">
        <f>1+1+1</f>
        <v>3</v>
      </c>
      <c r="C54">
        <f>1+1+1+1+1+1+1+1+1</f>
        <v>9</v>
      </c>
      <c r="E54" s="2">
        <f t="shared" si="13"/>
        <v>0.25</v>
      </c>
      <c r="F54">
        <f>4+8+5+10+4+3+3+5+6+6+5+0</f>
        <v>59</v>
      </c>
      <c r="G54">
        <f>14+12+8+6+7+13+10+10+3+11+2+1</f>
        <v>97</v>
      </c>
      <c r="H54">
        <f t="shared" si="14"/>
        <v>-38</v>
      </c>
      <c r="J54">
        <f>40</f>
        <v>40</v>
      </c>
      <c r="L54">
        <f t="shared" si="15"/>
        <v>30</v>
      </c>
      <c r="M54">
        <f t="shared" si="16"/>
        <v>0</v>
      </c>
      <c r="N54">
        <f>10+10+10</f>
        <v>30</v>
      </c>
      <c r="O54">
        <f t="shared" ref="O54" si="106">SUM(I54:N54)</f>
        <v>100</v>
      </c>
    </row>
    <row r="55" spans="1:15" x14ac:dyDescent="0.25">
      <c r="E55" s="2" t="e">
        <f t="shared" si="13"/>
        <v>#DIV/0!</v>
      </c>
      <c r="H55">
        <f t="shared" si="14"/>
        <v>0</v>
      </c>
      <c r="L55">
        <f t="shared" si="15"/>
        <v>0</v>
      </c>
      <c r="M55">
        <f t="shared" si="16"/>
        <v>0</v>
      </c>
      <c r="O55">
        <f t="shared" si="17"/>
        <v>0</v>
      </c>
    </row>
    <row r="56" spans="1:15" x14ac:dyDescent="0.25">
      <c r="E56" s="2" t="e">
        <f t="shared" ref="E56" si="107">(B56)/(B56+C56+D56)</f>
        <v>#DIV/0!</v>
      </c>
      <c r="H56">
        <f t="shared" ref="H56" si="108">F56-G56</f>
        <v>0</v>
      </c>
      <c r="L56">
        <f t="shared" ref="L56" si="109">B56*10</f>
        <v>0</v>
      </c>
      <c r="M56">
        <f t="shared" si="16"/>
        <v>0</v>
      </c>
      <c r="O56">
        <f t="shared" ref="O56" si="110">SUM(I56:N56)</f>
        <v>0</v>
      </c>
    </row>
    <row r="57" spans="1:15" x14ac:dyDescent="0.25">
      <c r="E57" s="2" t="e">
        <f t="shared" ref="E57" si="111">(B57)/(B57+C57+D57)</f>
        <v>#DIV/0!</v>
      </c>
      <c r="H57">
        <f t="shared" ref="H57" si="112">F57-G57</f>
        <v>0</v>
      </c>
      <c r="L57">
        <f t="shared" ref="L57" si="113">B57*10</f>
        <v>0</v>
      </c>
      <c r="M57">
        <f t="shared" si="16"/>
        <v>0</v>
      </c>
      <c r="O57">
        <f t="shared" ref="O57" si="114">SUM(I57:N57)</f>
        <v>0</v>
      </c>
    </row>
    <row r="58" spans="1:15" x14ac:dyDescent="0.25">
      <c r="E58" s="2" t="e">
        <f t="shared" si="13"/>
        <v>#DIV/0!</v>
      </c>
      <c r="H58">
        <f t="shared" si="14"/>
        <v>0</v>
      </c>
      <c r="L58">
        <f t="shared" si="15"/>
        <v>0</v>
      </c>
      <c r="M58">
        <f t="shared" si="16"/>
        <v>0</v>
      </c>
      <c r="O58">
        <f t="shared" si="17"/>
        <v>0</v>
      </c>
    </row>
    <row r="59" spans="1:15" x14ac:dyDescent="0.25">
      <c r="E59" s="2" t="e">
        <f t="shared" si="13"/>
        <v>#DIV/0!</v>
      </c>
      <c r="H59">
        <f t="shared" si="14"/>
        <v>0</v>
      </c>
      <c r="L59">
        <f t="shared" si="15"/>
        <v>0</v>
      </c>
      <c r="M59">
        <f t="shared" si="16"/>
        <v>0</v>
      </c>
      <c r="O59">
        <f t="shared" si="17"/>
        <v>0</v>
      </c>
    </row>
    <row r="60" spans="1:15" x14ac:dyDescent="0.25">
      <c r="E60" s="2" t="e">
        <f t="shared" ref="E60" si="115">(B60)/(B60+C60+D60)</f>
        <v>#DIV/0!</v>
      </c>
      <c r="H60">
        <f t="shared" ref="H60" si="116">F60-G60</f>
        <v>0</v>
      </c>
      <c r="L60">
        <f t="shared" ref="L60" si="117">B60*10</f>
        <v>0</v>
      </c>
      <c r="M60">
        <f t="shared" si="16"/>
        <v>0</v>
      </c>
      <c r="O60">
        <f t="shared" ref="O60" si="118">SUM(I60:N60)</f>
        <v>0</v>
      </c>
    </row>
    <row r="61" spans="1:15" x14ac:dyDescent="0.25">
      <c r="E61" s="2" t="e">
        <f t="shared" si="13"/>
        <v>#DIV/0!</v>
      </c>
      <c r="H61">
        <f t="shared" si="14"/>
        <v>0</v>
      </c>
      <c r="L61">
        <f t="shared" si="15"/>
        <v>0</v>
      </c>
      <c r="M61">
        <f t="shared" si="16"/>
        <v>0</v>
      </c>
      <c r="O61">
        <f t="shared" si="17"/>
        <v>0</v>
      </c>
    </row>
    <row r="62" spans="1:15" x14ac:dyDescent="0.25">
      <c r="E62" s="2" t="e">
        <f t="shared" si="13"/>
        <v>#DIV/0!</v>
      </c>
      <c r="H62">
        <f t="shared" si="14"/>
        <v>0</v>
      </c>
      <c r="L62">
        <f t="shared" si="15"/>
        <v>0</v>
      </c>
      <c r="M62">
        <v>0</v>
      </c>
      <c r="O62">
        <f t="shared" si="17"/>
        <v>0</v>
      </c>
    </row>
    <row r="63" spans="1:15" x14ac:dyDescent="0.25">
      <c r="E63" s="2" t="e">
        <f t="shared" si="13"/>
        <v>#DIV/0!</v>
      </c>
      <c r="H63">
        <f t="shared" si="14"/>
        <v>0</v>
      </c>
      <c r="L63">
        <f t="shared" si="15"/>
        <v>0</v>
      </c>
      <c r="M63">
        <f t="shared" ref="M63:M101" si="119">D63*5</f>
        <v>0</v>
      </c>
      <c r="O63">
        <f t="shared" si="17"/>
        <v>0</v>
      </c>
    </row>
    <row r="64" spans="1:15" x14ac:dyDescent="0.25">
      <c r="E64" s="2" t="e">
        <f t="shared" si="13"/>
        <v>#DIV/0!</v>
      </c>
      <c r="H64">
        <f t="shared" si="14"/>
        <v>0</v>
      </c>
      <c r="L64">
        <f t="shared" si="15"/>
        <v>0</v>
      </c>
      <c r="M64">
        <f t="shared" si="119"/>
        <v>0</v>
      </c>
      <c r="O64">
        <f t="shared" si="17"/>
        <v>0</v>
      </c>
    </row>
    <row r="65" spans="5:15" x14ac:dyDescent="0.25">
      <c r="E65" s="2" t="e">
        <f t="shared" si="13"/>
        <v>#DIV/0!</v>
      </c>
      <c r="H65">
        <f t="shared" si="14"/>
        <v>0</v>
      </c>
      <c r="L65">
        <f t="shared" si="15"/>
        <v>0</v>
      </c>
      <c r="M65">
        <f t="shared" si="119"/>
        <v>0</v>
      </c>
      <c r="O65">
        <f t="shared" si="17"/>
        <v>0</v>
      </c>
    </row>
    <row r="66" spans="5:15" x14ac:dyDescent="0.25">
      <c r="E66" s="2" t="e">
        <f t="shared" si="13"/>
        <v>#DIV/0!</v>
      </c>
      <c r="H66">
        <f t="shared" si="14"/>
        <v>0</v>
      </c>
      <c r="L66">
        <f t="shared" si="15"/>
        <v>0</v>
      </c>
      <c r="M66">
        <f t="shared" si="119"/>
        <v>0</v>
      </c>
      <c r="O66">
        <f t="shared" si="17"/>
        <v>0</v>
      </c>
    </row>
    <row r="67" spans="5:15" x14ac:dyDescent="0.25">
      <c r="E67" s="2" t="e">
        <f t="shared" si="13"/>
        <v>#DIV/0!</v>
      </c>
      <c r="H67">
        <f t="shared" si="14"/>
        <v>0</v>
      </c>
      <c r="L67">
        <f t="shared" si="15"/>
        <v>0</v>
      </c>
      <c r="M67">
        <f t="shared" si="119"/>
        <v>0</v>
      </c>
      <c r="O67">
        <f t="shared" si="17"/>
        <v>0</v>
      </c>
    </row>
    <row r="68" spans="5:15" x14ac:dyDescent="0.25">
      <c r="E68" s="2" t="e">
        <f t="shared" si="13"/>
        <v>#DIV/0!</v>
      </c>
      <c r="H68">
        <f t="shared" si="14"/>
        <v>0</v>
      </c>
      <c r="L68">
        <f t="shared" si="15"/>
        <v>0</v>
      </c>
      <c r="M68">
        <f t="shared" si="119"/>
        <v>0</v>
      </c>
      <c r="O68">
        <f t="shared" si="17"/>
        <v>0</v>
      </c>
    </row>
    <row r="69" spans="5:15" x14ac:dyDescent="0.25">
      <c r="E69" s="2" t="e">
        <f t="shared" si="13"/>
        <v>#DIV/0!</v>
      </c>
      <c r="H69">
        <f t="shared" si="14"/>
        <v>0</v>
      </c>
      <c r="L69">
        <f t="shared" si="15"/>
        <v>0</v>
      </c>
      <c r="M69">
        <f t="shared" si="119"/>
        <v>0</v>
      </c>
      <c r="O69">
        <f t="shared" si="17"/>
        <v>0</v>
      </c>
    </row>
    <row r="70" spans="5:15" x14ac:dyDescent="0.25">
      <c r="E70" s="2" t="e">
        <f t="shared" si="13"/>
        <v>#DIV/0!</v>
      </c>
      <c r="H70">
        <f t="shared" si="14"/>
        <v>0</v>
      </c>
      <c r="L70">
        <f t="shared" si="15"/>
        <v>0</v>
      </c>
      <c r="M70">
        <f t="shared" si="119"/>
        <v>0</v>
      </c>
      <c r="O70">
        <f t="shared" si="17"/>
        <v>0</v>
      </c>
    </row>
    <row r="71" spans="5:15" x14ac:dyDescent="0.25">
      <c r="E71" s="2" t="e">
        <f t="shared" si="13"/>
        <v>#DIV/0!</v>
      </c>
      <c r="H71">
        <f t="shared" si="14"/>
        <v>0</v>
      </c>
      <c r="L71">
        <f t="shared" si="15"/>
        <v>0</v>
      </c>
      <c r="M71">
        <f t="shared" si="119"/>
        <v>0</v>
      </c>
      <c r="O71">
        <f t="shared" si="17"/>
        <v>0</v>
      </c>
    </row>
    <row r="72" spans="5:15" x14ac:dyDescent="0.25">
      <c r="E72" s="2" t="e">
        <f t="shared" ref="E72" si="120">(B72)/(B72+C72+D72)</f>
        <v>#DIV/0!</v>
      </c>
      <c r="H72">
        <f t="shared" ref="H72" si="121">F72-G72</f>
        <v>0</v>
      </c>
      <c r="L72">
        <f t="shared" ref="L72" si="122">B72*10</f>
        <v>0</v>
      </c>
      <c r="M72">
        <f t="shared" si="119"/>
        <v>0</v>
      </c>
      <c r="O72">
        <f t="shared" ref="O72" si="123">SUM(I72:N72)</f>
        <v>0</v>
      </c>
    </row>
    <row r="73" spans="5:15" x14ac:dyDescent="0.25">
      <c r="E73" s="2" t="e">
        <f t="shared" si="13"/>
        <v>#DIV/0!</v>
      </c>
      <c r="H73">
        <f t="shared" si="14"/>
        <v>0</v>
      </c>
      <c r="L73">
        <f t="shared" si="15"/>
        <v>0</v>
      </c>
      <c r="M73">
        <f t="shared" si="119"/>
        <v>0</v>
      </c>
      <c r="O73">
        <f t="shared" si="17"/>
        <v>0</v>
      </c>
    </row>
    <row r="74" spans="5:15" x14ac:dyDescent="0.25">
      <c r="E74" s="2" t="e">
        <f t="shared" si="13"/>
        <v>#DIV/0!</v>
      </c>
      <c r="H74">
        <f t="shared" si="14"/>
        <v>0</v>
      </c>
      <c r="L74">
        <f t="shared" si="15"/>
        <v>0</v>
      </c>
      <c r="M74">
        <f t="shared" si="119"/>
        <v>0</v>
      </c>
      <c r="O74">
        <f t="shared" si="17"/>
        <v>0</v>
      </c>
    </row>
    <row r="75" spans="5:15" x14ac:dyDescent="0.25">
      <c r="E75" s="2" t="e">
        <f t="shared" si="13"/>
        <v>#DIV/0!</v>
      </c>
      <c r="H75">
        <f t="shared" si="14"/>
        <v>0</v>
      </c>
      <c r="L75">
        <f t="shared" si="15"/>
        <v>0</v>
      </c>
      <c r="M75">
        <f t="shared" si="119"/>
        <v>0</v>
      </c>
      <c r="O75">
        <f t="shared" si="17"/>
        <v>0</v>
      </c>
    </row>
    <row r="76" spans="5:15" x14ac:dyDescent="0.25">
      <c r="E76" s="2" t="e">
        <f t="shared" si="13"/>
        <v>#DIV/0!</v>
      </c>
      <c r="H76">
        <f t="shared" si="14"/>
        <v>0</v>
      </c>
      <c r="L76">
        <f t="shared" si="15"/>
        <v>0</v>
      </c>
      <c r="M76">
        <f t="shared" si="119"/>
        <v>0</v>
      </c>
      <c r="O76">
        <f t="shared" si="17"/>
        <v>0</v>
      </c>
    </row>
    <row r="77" spans="5:15" x14ac:dyDescent="0.25">
      <c r="E77" s="2" t="e">
        <f t="shared" si="13"/>
        <v>#DIV/0!</v>
      </c>
      <c r="H77">
        <f t="shared" si="14"/>
        <v>0</v>
      </c>
      <c r="L77">
        <f t="shared" si="15"/>
        <v>0</v>
      </c>
      <c r="M77">
        <f t="shared" si="119"/>
        <v>0</v>
      </c>
      <c r="O77">
        <f t="shared" si="17"/>
        <v>0</v>
      </c>
    </row>
    <row r="78" spans="5:15" x14ac:dyDescent="0.25">
      <c r="E78" s="2" t="e">
        <f t="shared" si="13"/>
        <v>#DIV/0!</v>
      </c>
      <c r="H78">
        <f t="shared" si="14"/>
        <v>0</v>
      </c>
      <c r="L78">
        <f t="shared" si="15"/>
        <v>0</v>
      </c>
      <c r="M78">
        <f t="shared" si="119"/>
        <v>0</v>
      </c>
      <c r="O78">
        <f t="shared" si="17"/>
        <v>0</v>
      </c>
    </row>
    <row r="79" spans="5:15" x14ac:dyDescent="0.25">
      <c r="E79" s="2" t="e">
        <f t="shared" ref="E79" si="124">(B79)/(B79+C79+D79)</f>
        <v>#DIV/0!</v>
      </c>
      <c r="H79">
        <f t="shared" ref="H79" si="125">F79-G79</f>
        <v>0</v>
      </c>
      <c r="L79">
        <f t="shared" ref="L79" si="126">B79*10</f>
        <v>0</v>
      </c>
      <c r="M79">
        <f t="shared" ref="M79" si="127">D79*5</f>
        <v>0</v>
      </c>
      <c r="O79">
        <f t="shared" ref="O79" si="128">SUM(I79:N79)</f>
        <v>0</v>
      </c>
    </row>
    <row r="80" spans="5:15" x14ac:dyDescent="0.25">
      <c r="E80" s="2" t="e">
        <f t="shared" si="13"/>
        <v>#DIV/0!</v>
      </c>
      <c r="H80">
        <f t="shared" si="14"/>
        <v>0</v>
      </c>
      <c r="L80">
        <f t="shared" si="15"/>
        <v>0</v>
      </c>
      <c r="M80">
        <f t="shared" si="119"/>
        <v>0</v>
      </c>
      <c r="O80">
        <f t="shared" si="17"/>
        <v>0</v>
      </c>
    </row>
    <row r="81" spans="1:16" x14ac:dyDescent="0.25">
      <c r="E81" s="2" t="e">
        <f t="shared" si="13"/>
        <v>#DIV/0!</v>
      </c>
      <c r="H81">
        <f t="shared" si="14"/>
        <v>0</v>
      </c>
      <c r="L81">
        <f t="shared" si="15"/>
        <v>0</v>
      </c>
      <c r="M81">
        <f t="shared" si="119"/>
        <v>0</v>
      </c>
      <c r="O81">
        <f t="shared" si="17"/>
        <v>0</v>
      </c>
    </row>
    <row r="82" spans="1:16" x14ac:dyDescent="0.25">
      <c r="E82" s="2" t="e">
        <f t="shared" si="13"/>
        <v>#DIV/0!</v>
      </c>
      <c r="H82">
        <f t="shared" si="14"/>
        <v>0</v>
      </c>
      <c r="L82">
        <f t="shared" si="15"/>
        <v>0</v>
      </c>
      <c r="M82">
        <f t="shared" si="119"/>
        <v>0</v>
      </c>
      <c r="O82">
        <f t="shared" si="17"/>
        <v>0</v>
      </c>
    </row>
    <row r="83" spans="1:16" x14ac:dyDescent="0.25">
      <c r="A83" s="6"/>
      <c r="B83" s="4"/>
      <c r="C83" s="4"/>
      <c r="D83" s="4"/>
      <c r="E83" s="5" t="e">
        <f t="shared" si="13"/>
        <v>#DIV/0!</v>
      </c>
      <c r="F83" s="4"/>
      <c r="G83" s="4"/>
      <c r="H83" s="4">
        <f t="shared" si="14"/>
        <v>0</v>
      </c>
      <c r="I83" s="4"/>
      <c r="J83" s="4"/>
      <c r="K83" s="4"/>
      <c r="L83" s="4">
        <f t="shared" si="15"/>
        <v>0</v>
      </c>
      <c r="M83" s="4">
        <f t="shared" si="119"/>
        <v>0</v>
      </c>
      <c r="N83" s="4"/>
      <c r="O83" s="4">
        <f t="shared" si="17"/>
        <v>0</v>
      </c>
      <c r="P83" s="4"/>
    </row>
    <row r="84" spans="1:16" x14ac:dyDescent="0.25">
      <c r="E84" s="2" t="e">
        <f t="shared" si="13"/>
        <v>#DIV/0!</v>
      </c>
      <c r="H84">
        <f t="shared" si="14"/>
        <v>0</v>
      </c>
      <c r="L84">
        <f t="shared" si="15"/>
        <v>0</v>
      </c>
      <c r="M84">
        <f t="shared" si="119"/>
        <v>0</v>
      </c>
      <c r="O84">
        <f t="shared" si="17"/>
        <v>0</v>
      </c>
      <c r="P84" s="4"/>
    </row>
    <row r="85" spans="1:16" x14ac:dyDescent="0.25">
      <c r="E85" s="2" t="e">
        <f t="shared" si="13"/>
        <v>#DIV/0!</v>
      </c>
      <c r="H85">
        <f t="shared" si="14"/>
        <v>0</v>
      </c>
      <c r="L85">
        <f t="shared" si="15"/>
        <v>0</v>
      </c>
      <c r="M85">
        <f t="shared" si="119"/>
        <v>0</v>
      </c>
      <c r="O85">
        <f t="shared" si="17"/>
        <v>0</v>
      </c>
    </row>
    <row r="86" spans="1:16" x14ac:dyDescent="0.25">
      <c r="E86" s="2" t="e">
        <f t="shared" si="13"/>
        <v>#DIV/0!</v>
      </c>
      <c r="H86">
        <f t="shared" si="14"/>
        <v>0</v>
      </c>
      <c r="L86">
        <f t="shared" si="15"/>
        <v>0</v>
      </c>
      <c r="M86">
        <f t="shared" si="119"/>
        <v>0</v>
      </c>
      <c r="O86">
        <f t="shared" si="17"/>
        <v>0</v>
      </c>
    </row>
    <row r="87" spans="1:16" x14ac:dyDescent="0.25">
      <c r="A87" s="6"/>
      <c r="B87" s="4"/>
      <c r="C87" s="4"/>
      <c r="D87" s="4"/>
      <c r="E87" s="5" t="e">
        <f t="shared" si="13"/>
        <v>#DIV/0!</v>
      </c>
      <c r="F87" s="4"/>
      <c r="G87" s="4"/>
      <c r="H87" s="4">
        <f t="shared" si="14"/>
        <v>0</v>
      </c>
      <c r="I87" s="4"/>
      <c r="J87" s="4"/>
      <c r="K87" s="4"/>
      <c r="L87" s="4">
        <f t="shared" si="15"/>
        <v>0</v>
      </c>
      <c r="M87" s="4">
        <f t="shared" si="119"/>
        <v>0</v>
      </c>
      <c r="N87" s="4"/>
      <c r="O87" s="4">
        <f t="shared" si="17"/>
        <v>0</v>
      </c>
      <c r="P87" s="4"/>
    </row>
    <row r="88" spans="1:16" x14ac:dyDescent="0.25">
      <c r="A88" s="6"/>
      <c r="B88" s="4"/>
      <c r="C88" s="4"/>
      <c r="D88" s="4"/>
      <c r="E88" s="5" t="e">
        <f t="shared" si="13"/>
        <v>#DIV/0!</v>
      </c>
      <c r="F88" s="4"/>
      <c r="G88" s="4"/>
      <c r="H88" s="4">
        <f t="shared" si="14"/>
        <v>0</v>
      </c>
      <c r="I88" s="4"/>
      <c r="J88" s="4"/>
      <c r="K88" s="4"/>
      <c r="L88" s="4">
        <f t="shared" si="15"/>
        <v>0</v>
      </c>
      <c r="M88" s="4">
        <f t="shared" si="119"/>
        <v>0</v>
      </c>
      <c r="N88" s="4"/>
      <c r="O88" s="4">
        <f t="shared" si="17"/>
        <v>0</v>
      </c>
      <c r="P88" s="4"/>
    </row>
    <row r="89" spans="1:16" x14ac:dyDescent="0.25">
      <c r="A89" s="6"/>
      <c r="B89" s="4"/>
      <c r="C89" s="4"/>
      <c r="D89" s="4"/>
      <c r="E89" s="5" t="e">
        <f t="shared" si="13"/>
        <v>#DIV/0!</v>
      </c>
      <c r="F89" s="4"/>
      <c r="G89" s="4"/>
      <c r="H89" s="4">
        <f t="shared" si="14"/>
        <v>0</v>
      </c>
      <c r="I89" s="4"/>
      <c r="J89" s="4"/>
      <c r="K89" s="4"/>
      <c r="L89" s="4">
        <f t="shared" si="15"/>
        <v>0</v>
      </c>
      <c r="M89" s="4">
        <f t="shared" si="119"/>
        <v>0</v>
      </c>
      <c r="N89" s="4"/>
      <c r="O89" s="4">
        <f t="shared" si="17"/>
        <v>0</v>
      </c>
      <c r="P89" s="4"/>
    </row>
    <row r="90" spans="1:16" x14ac:dyDescent="0.25">
      <c r="A90" s="6"/>
      <c r="B90" s="4"/>
      <c r="C90" s="4"/>
      <c r="D90" s="4"/>
      <c r="E90" s="5" t="e">
        <f t="shared" si="13"/>
        <v>#DIV/0!</v>
      </c>
      <c r="F90" s="4"/>
      <c r="G90" s="4"/>
      <c r="H90" s="4">
        <f t="shared" si="14"/>
        <v>0</v>
      </c>
      <c r="I90" s="4"/>
      <c r="J90" s="4"/>
      <c r="K90" s="4"/>
      <c r="L90" s="4">
        <f t="shared" si="15"/>
        <v>0</v>
      </c>
      <c r="M90" s="4">
        <f t="shared" si="119"/>
        <v>0</v>
      </c>
      <c r="N90" s="4"/>
      <c r="O90" s="4">
        <f t="shared" si="17"/>
        <v>0</v>
      </c>
      <c r="P90" s="4"/>
    </row>
    <row r="91" spans="1:16" x14ac:dyDescent="0.25">
      <c r="A91" s="6"/>
      <c r="B91" s="4"/>
      <c r="C91" s="4"/>
      <c r="D91" s="4"/>
      <c r="E91" s="5" t="e">
        <f t="shared" si="13"/>
        <v>#DIV/0!</v>
      </c>
      <c r="F91" s="4"/>
      <c r="G91" s="4"/>
      <c r="H91" s="4">
        <f t="shared" si="14"/>
        <v>0</v>
      </c>
      <c r="I91" s="4"/>
      <c r="J91" s="4"/>
      <c r="K91" s="4"/>
      <c r="L91" s="4">
        <f t="shared" si="15"/>
        <v>0</v>
      </c>
      <c r="M91" s="4">
        <f t="shared" si="119"/>
        <v>0</v>
      </c>
      <c r="N91" s="4"/>
      <c r="O91" s="4">
        <f t="shared" si="17"/>
        <v>0</v>
      </c>
      <c r="P91" s="4"/>
    </row>
    <row r="92" spans="1:16" x14ac:dyDescent="0.25">
      <c r="A92" s="6"/>
      <c r="B92" s="4"/>
      <c r="C92" s="4"/>
      <c r="D92" s="4"/>
      <c r="E92" s="5" t="e">
        <f t="shared" ref="E92:E121" si="129">(B92)/(B92+C92+D92)</f>
        <v>#DIV/0!</v>
      </c>
      <c r="F92" s="4"/>
      <c r="G92" s="4"/>
      <c r="H92" s="4">
        <f t="shared" ref="H92:H121" si="130">F92-G92</f>
        <v>0</v>
      </c>
      <c r="I92" s="4"/>
      <c r="J92" s="4"/>
      <c r="K92" s="4"/>
      <c r="L92" s="4">
        <f t="shared" si="15"/>
        <v>0</v>
      </c>
      <c r="M92" s="4">
        <f t="shared" si="119"/>
        <v>0</v>
      </c>
      <c r="N92" s="4"/>
      <c r="O92" s="4">
        <f t="shared" ref="O92:O121" si="131">SUM(I92:N92)</f>
        <v>0</v>
      </c>
    </row>
    <row r="93" spans="1:16" x14ac:dyDescent="0.25">
      <c r="E93" s="2" t="e">
        <f t="shared" si="129"/>
        <v>#DIV/0!</v>
      </c>
      <c r="H93">
        <f t="shared" si="130"/>
        <v>0</v>
      </c>
      <c r="L93">
        <f t="shared" si="15"/>
        <v>0</v>
      </c>
      <c r="M93">
        <f t="shared" si="119"/>
        <v>0</v>
      </c>
      <c r="O93">
        <f t="shared" si="131"/>
        <v>0</v>
      </c>
    </row>
    <row r="94" spans="1:16" x14ac:dyDescent="0.25">
      <c r="E94" s="2" t="e">
        <f t="shared" si="129"/>
        <v>#DIV/0!</v>
      </c>
      <c r="H94">
        <f t="shared" si="130"/>
        <v>0</v>
      </c>
      <c r="L94">
        <f t="shared" si="15"/>
        <v>0</v>
      </c>
      <c r="M94">
        <f t="shared" si="119"/>
        <v>0</v>
      </c>
      <c r="O94">
        <f t="shared" si="131"/>
        <v>0</v>
      </c>
    </row>
    <row r="95" spans="1:16" x14ac:dyDescent="0.25">
      <c r="E95" s="2" t="e">
        <f t="shared" si="129"/>
        <v>#DIV/0!</v>
      </c>
      <c r="H95">
        <f t="shared" si="130"/>
        <v>0</v>
      </c>
      <c r="L95">
        <f t="shared" si="15"/>
        <v>0</v>
      </c>
      <c r="M95">
        <f t="shared" si="119"/>
        <v>0</v>
      </c>
      <c r="O95">
        <f t="shared" si="131"/>
        <v>0</v>
      </c>
    </row>
    <row r="96" spans="1:16" x14ac:dyDescent="0.25">
      <c r="E96" s="2" t="e">
        <f t="shared" si="129"/>
        <v>#DIV/0!</v>
      </c>
      <c r="H96">
        <f t="shared" si="130"/>
        <v>0</v>
      </c>
      <c r="L96">
        <f t="shared" si="15"/>
        <v>0</v>
      </c>
      <c r="M96">
        <f t="shared" si="119"/>
        <v>0</v>
      </c>
      <c r="O96">
        <f t="shared" si="131"/>
        <v>0</v>
      </c>
    </row>
    <row r="97" spans="5:15" x14ac:dyDescent="0.25">
      <c r="E97" s="2" t="e">
        <f t="shared" si="129"/>
        <v>#DIV/0!</v>
      </c>
      <c r="H97">
        <f t="shared" si="130"/>
        <v>0</v>
      </c>
      <c r="L97">
        <f t="shared" si="15"/>
        <v>0</v>
      </c>
      <c r="M97">
        <f t="shared" si="119"/>
        <v>0</v>
      </c>
      <c r="O97">
        <f t="shared" si="131"/>
        <v>0</v>
      </c>
    </row>
    <row r="98" spans="5:15" x14ac:dyDescent="0.25">
      <c r="E98" s="2" t="e">
        <f t="shared" si="129"/>
        <v>#DIV/0!</v>
      </c>
      <c r="H98">
        <f t="shared" si="130"/>
        <v>0</v>
      </c>
      <c r="L98">
        <f t="shared" si="15"/>
        <v>0</v>
      </c>
      <c r="M98">
        <f t="shared" si="119"/>
        <v>0</v>
      </c>
      <c r="O98">
        <f t="shared" si="131"/>
        <v>0</v>
      </c>
    </row>
    <row r="99" spans="5:15" x14ac:dyDescent="0.25">
      <c r="E99" s="2" t="e">
        <f t="shared" si="129"/>
        <v>#DIV/0!</v>
      </c>
      <c r="H99">
        <f t="shared" si="130"/>
        <v>0</v>
      </c>
      <c r="M99">
        <f t="shared" si="119"/>
        <v>0</v>
      </c>
      <c r="O99">
        <f t="shared" si="131"/>
        <v>0</v>
      </c>
    </row>
    <row r="100" spans="5:15" x14ac:dyDescent="0.25">
      <c r="E100" s="2" t="e">
        <f t="shared" si="129"/>
        <v>#DIV/0!</v>
      </c>
      <c r="H100">
        <f t="shared" si="130"/>
        <v>0</v>
      </c>
      <c r="M100">
        <f t="shared" si="119"/>
        <v>0</v>
      </c>
      <c r="O100">
        <f t="shared" si="131"/>
        <v>0</v>
      </c>
    </row>
    <row r="101" spans="5:15" x14ac:dyDescent="0.25">
      <c r="E101" s="2" t="e">
        <f t="shared" si="129"/>
        <v>#DIV/0!</v>
      </c>
      <c r="H101">
        <f t="shared" si="130"/>
        <v>0</v>
      </c>
      <c r="M101">
        <f t="shared" si="119"/>
        <v>0</v>
      </c>
      <c r="O101">
        <f t="shared" si="131"/>
        <v>0</v>
      </c>
    </row>
    <row r="102" spans="5:15" x14ac:dyDescent="0.25">
      <c r="E102" s="2" t="e">
        <f t="shared" si="129"/>
        <v>#DIV/0!</v>
      </c>
      <c r="H102">
        <f t="shared" si="130"/>
        <v>0</v>
      </c>
      <c r="M102">
        <f t="shared" ref="M102:M121" si="132">D102*5</f>
        <v>0</v>
      </c>
      <c r="O102">
        <f t="shared" si="131"/>
        <v>0</v>
      </c>
    </row>
    <row r="103" spans="5:15" x14ac:dyDescent="0.25">
      <c r="E103" s="2" t="e">
        <f t="shared" si="129"/>
        <v>#DIV/0!</v>
      </c>
      <c r="H103">
        <f t="shared" si="130"/>
        <v>0</v>
      </c>
      <c r="M103">
        <f t="shared" si="132"/>
        <v>0</v>
      </c>
      <c r="O103">
        <f t="shared" si="131"/>
        <v>0</v>
      </c>
    </row>
    <row r="104" spans="5:15" x14ac:dyDescent="0.25">
      <c r="E104" s="2" t="e">
        <f t="shared" si="129"/>
        <v>#DIV/0!</v>
      </c>
      <c r="H104">
        <f t="shared" si="130"/>
        <v>0</v>
      </c>
      <c r="M104">
        <f t="shared" si="132"/>
        <v>0</v>
      </c>
      <c r="O104">
        <f t="shared" si="131"/>
        <v>0</v>
      </c>
    </row>
    <row r="105" spans="5:15" x14ac:dyDescent="0.25">
      <c r="E105" s="2" t="e">
        <f t="shared" si="129"/>
        <v>#DIV/0!</v>
      </c>
      <c r="H105">
        <f t="shared" si="130"/>
        <v>0</v>
      </c>
      <c r="M105">
        <f t="shared" si="132"/>
        <v>0</v>
      </c>
      <c r="O105">
        <f t="shared" si="131"/>
        <v>0</v>
      </c>
    </row>
    <row r="106" spans="5:15" x14ac:dyDescent="0.25">
      <c r="E106" s="2" t="e">
        <f t="shared" si="129"/>
        <v>#DIV/0!</v>
      </c>
      <c r="H106">
        <f t="shared" si="130"/>
        <v>0</v>
      </c>
      <c r="M106">
        <f t="shared" si="132"/>
        <v>0</v>
      </c>
      <c r="O106">
        <f t="shared" si="131"/>
        <v>0</v>
      </c>
    </row>
    <row r="107" spans="5:15" x14ac:dyDescent="0.25">
      <c r="E107" s="2" t="e">
        <f t="shared" si="129"/>
        <v>#DIV/0!</v>
      </c>
      <c r="H107">
        <f t="shared" si="130"/>
        <v>0</v>
      </c>
      <c r="M107">
        <f t="shared" si="132"/>
        <v>0</v>
      </c>
      <c r="O107">
        <f t="shared" si="131"/>
        <v>0</v>
      </c>
    </row>
    <row r="108" spans="5:15" x14ac:dyDescent="0.25">
      <c r="E108" s="2" t="e">
        <f t="shared" si="129"/>
        <v>#DIV/0!</v>
      </c>
      <c r="H108">
        <f t="shared" si="130"/>
        <v>0</v>
      </c>
      <c r="M108">
        <f t="shared" si="132"/>
        <v>0</v>
      </c>
      <c r="O108">
        <f t="shared" si="131"/>
        <v>0</v>
      </c>
    </row>
    <row r="109" spans="5:15" x14ac:dyDescent="0.25">
      <c r="E109" s="2" t="e">
        <f t="shared" si="129"/>
        <v>#DIV/0!</v>
      </c>
      <c r="H109">
        <f t="shared" si="130"/>
        <v>0</v>
      </c>
      <c r="M109">
        <f t="shared" si="132"/>
        <v>0</v>
      </c>
      <c r="O109">
        <f t="shared" si="131"/>
        <v>0</v>
      </c>
    </row>
    <row r="110" spans="5:15" x14ac:dyDescent="0.25">
      <c r="E110" s="2" t="e">
        <f t="shared" si="129"/>
        <v>#DIV/0!</v>
      </c>
      <c r="H110">
        <f t="shared" si="130"/>
        <v>0</v>
      </c>
      <c r="M110">
        <f t="shared" si="132"/>
        <v>0</v>
      </c>
      <c r="O110">
        <f t="shared" si="131"/>
        <v>0</v>
      </c>
    </row>
    <row r="111" spans="5:15" x14ac:dyDescent="0.25">
      <c r="E111" s="2" t="e">
        <f t="shared" si="129"/>
        <v>#DIV/0!</v>
      </c>
      <c r="H111">
        <f t="shared" si="130"/>
        <v>0</v>
      </c>
      <c r="M111">
        <f t="shared" si="132"/>
        <v>0</v>
      </c>
      <c r="O111">
        <f t="shared" si="131"/>
        <v>0</v>
      </c>
    </row>
    <row r="112" spans="5:15" x14ac:dyDescent="0.25">
      <c r="E112" s="2" t="e">
        <f t="shared" si="129"/>
        <v>#DIV/0!</v>
      </c>
      <c r="H112">
        <f t="shared" si="130"/>
        <v>0</v>
      </c>
      <c r="M112">
        <f t="shared" si="132"/>
        <v>0</v>
      </c>
      <c r="O112">
        <f t="shared" si="131"/>
        <v>0</v>
      </c>
    </row>
    <row r="113" spans="5:15" x14ac:dyDescent="0.25">
      <c r="E113" s="2" t="e">
        <f t="shared" si="129"/>
        <v>#DIV/0!</v>
      </c>
      <c r="H113">
        <f t="shared" si="130"/>
        <v>0</v>
      </c>
      <c r="M113">
        <f t="shared" si="132"/>
        <v>0</v>
      </c>
      <c r="O113">
        <f t="shared" si="131"/>
        <v>0</v>
      </c>
    </row>
    <row r="114" spans="5:15" x14ac:dyDescent="0.25">
      <c r="E114" s="2" t="e">
        <f t="shared" si="129"/>
        <v>#DIV/0!</v>
      </c>
      <c r="H114">
        <f t="shared" si="130"/>
        <v>0</v>
      </c>
      <c r="M114">
        <f t="shared" si="132"/>
        <v>0</v>
      </c>
      <c r="O114">
        <f t="shared" si="131"/>
        <v>0</v>
      </c>
    </row>
    <row r="115" spans="5:15" x14ac:dyDescent="0.25">
      <c r="E115" s="2" t="e">
        <f t="shared" si="129"/>
        <v>#DIV/0!</v>
      </c>
      <c r="H115">
        <f t="shared" si="130"/>
        <v>0</v>
      </c>
      <c r="M115">
        <f t="shared" si="132"/>
        <v>0</v>
      </c>
      <c r="O115">
        <f t="shared" si="131"/>
        <v>0</v>
      </c>
    </row>
    <row r="116" spans="5:15" x14ac:dyDescent="0.25">
      <c r="E116" s="2" t="e">
        <f t="shared" si="129"/>
        <v>#DIV/0!</v>
      </c>
      <c r="H116">
        <f t="shared" si="130"/>
        <v>0</v>
      </c>
      <c r="M116">
        <f t="shared" si="132"/>
        <v>0</v>
      </c>
      <c r="O116">
        <f t="shared" si="131"/>
        <v>0</v>
      </c>
    </row>
    <row r="117" spans="5:15" x14ac:dyDescent="0.25">
      <c r="E117" s="2" t="e">
        <f t="shared" si="129"/>
        <v>#DIV/0!</v>
      </c>
      <c r="H117">
        <f t="shared" si="130"/>
        <v>0</v>
      </c>
      <c r="M117">
        <f t="shared" si="132"/>
        <v>0</v>
      </c>
      <c r="O117">
        <f t="shared" si="131"/>
        <v>0</v>
      </c>
    </row>
    <row r="118" spans="5:15" x14ac:dyDescent="0.25">
      <c r="E118" t="e">
        <f t="shared" si="129"/>
        <v>#DIV/0!</v>
      </c>
      <c r="H118">
        <f t="shared" si="130"/>
        <v>0</v>
      </c>
      <c r="M118">
        <f t="shared" si="132"/>
        <v>0</v>
      </c>
      <c r="O118">
        <f t="shared" si="131"/>
        <v>0</v>
      </c>
    </row>
    <row r="119" spans="5:15" x14ac:dyDescent="0.25">
      <c r="E119" t="e">
        <f t="shared" si="129"/>
        <v>#DIV/0!</v>
      </c>
      <c r="H119">
        <f t="shared" si="130"/>
        <v>0</v>
      </c>
      <c r="M119">
        <f t="shared" si="132"/>
        <v>0</v>
      </c>
      <c r="O119">
        <f t="shared" si="131"/>
        <v>0</v>
      </c>
    </row>
    <row r="120" spans="5:15" x14ac:dyDescent="0.25">
      <c r="E120" t="e">
        <f t="shared" si="129"/>
        <v>#DIV/0!</v>
      </c>
      <c r="H120">
        <f t="shared" si="130"/>
        <v>0</v>
      </c>
      <c r="M120">
        <f t="shared" si="132"/>
        <v>0</v>
      </c>
      <c r="O120">
        <f t="shared" si="131"/>
        <v>0</v>
      </c>
    </row>
    <row r="121" spans="5:15" x14ac:dyDescent="0.25">
      <c r="E121" t="e">
        <f t="shared" si="129"/>
        <v>#DIV/0!</v>
      </c>
      <c r="H121">
        <f t="shared" si="130"/>
        <v>0</v>
      </c>
      <c r="M121">
        <f t="shared" si="132"/>
        <v>0</v>
      </c>
      <c r="O121">
        <f t="shared" si="131"/>
        <v>0</v>
      </c>
    </row>
  </sheetData>
  <sortState xmlns:xlrd2="http://schemas.microsoft.com/office/spreadsheetml/2017/richdata2" ref="A9:O116">
    <sortCondition ref="A71:A116"/>
  </sortState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A133"/>
  <sheetViews>
    <sheetView topLeftCell="A13" zoomScaleNormal="100" workbookViewId="0">
      <selection activeCell="H14" sqref="H14"/>
    </sheetView>
  </sheetViews>
  <sheetFormatPr defaultRowHeight="15" x14ac:dyDescent="0.25"/>
  <cols>
    <col min="1" max="1" width="26.85546875" style="3" customWidth="1"/>
    <col min="4" max="4" width="8.140625" customWidth="1"/>
  </cols>
  <sheetData>
    <row r="1" spans="1:27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x14ac:dyDescent="0.25">
      <c r="A2" s="1" t="s">
        <v>17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P2" s="1"/>
    </row>
    <row r="3" spans="1:27" x14ac:dyDescent="0.25">
      <c r="A3" s="3" t="s">
        <v>74</v>
      </c>
      <c r="B3">
        <f>1+1+1+1+1+1</f>
        <v>6</v>
      </c>
      <c r="C3">
        <f>1+1+1+1</f>
        <v>4</v>
      </c>
      <c r="E3" s="2">
        <f t="shared" ref="E3:E5" si="0">(B3)/(B3+C3+D3)</f>
        <v>0.6</v>
      </c>
      <c r="F3">
        <f>4+3+1+4+2+6+5+4+4+3</f>
        <v>36</v>
      </c>
      <c r="G3">
        <f>0+0+5+3+4+1+8+1+3+5</f>
        <v>30</v>
      </c>
      <c r="H3">
        <f t="shared" ref="H3:H5" si="1">F3-G3</f>
        <v>6</v>
      </c>
      <c r="J3">
        <f>40+40</f>
        <v>80</v>
      </c>
      <c r="L3">
        <f t="shared" ref="L3:L5" si="2">B3*10</f>
        <v>60</v>
      </c>
      <c r="M3">
        <f t="shared" ref="M3:M5" si="3">D3*5</f>
        <v>0</v>
      </c>
      <c r="N3">
        <f>10+10</f>
        <v>20</v>
      </c>
      <c r="O3">
        <f t="shared" ref="O3" si="4">SUM(I3:N3)</f>
        <v>160</v>
      </c>
    </row>
    <row r="4" spans="1:27" x14ac:dyDescent="0.25">
      <c r="A4" s="3" t="s">
        <v>99</v>
      </c>
      <c r="B4">
        <f>1+1+1+1+1+1+1+1+1+1+1+1+1+1+1+1+1+1+1</f>
        <v>19</v>
      </c>
      <c r="C4">
        <f>1+1+1+1+1+1+1+1+1+1+1+1+1+1+1+1+1+1</f>
        <v>18</v>
      </c>
      <c r="D4">
        <f>1</f>
        <v>1</v>
      </c>
      <c r="E4" s="2">
        <f t="shared" ref="E4" si="5">(B4)/(B4+C4+D4)</f>
        <v>0.5</v>
      </c>
      <c r="F4">
        <f>14+6+1+0+7+10+1+1+1+0+4+4+13+12+11+2+5+6+6+0+5+9+6+4+5+8+10+10+0+1+5+1+3+3+7+4+7+4</f>
        <v>196</v>
      </c>
      <c r="G4">
        <f>2+3+6+9+0+4+3+0+0+1+10+6+6+0+12+4+5+3+2+1+3+1+12+5+4+10+1+3+1+9+4+4+0+4+3+2+12+6</f>
        <v>161</v>
      </c>
      <c r="H4">
        <f>F4-G4</f>
        <v>35</v>
      </c>
      <c r="J4">
        <f>40</f>
        <v>40</v>
      </c>
      <c r="K4">
        <f>20+20+20</f>
        <v>60</v>
      </c>
      <c r="L4">
        <f t="shared" ref="L4" si="6">B4*10</f>
        <v>190</v>
      </c>
      <c r="M4">
        <f t="shared" ref="M4" si="7">D4*5</f>
        <v>5</v>
      </c>
      <c r="N4">
        <f>10+10+10+10+10+10+10+10</f>
        <v>80</v>
      </c>
      <c r="O4">
        <f t="shared" ref="O4" si="8">SUM(I4:N4)</f>
        <v>375</v>
      </c>
    </row>
    <row r="5" spans="1:27" x14ac:dyDescent="0.25">
      <c r="A5" s="3" t="s">
        <v>98</v>
      </c>
      <c r="B5">
        <f>1+1+1+1+1+1+1+1+1+1+1+1+1+1+1+1+1+1</f>
        <v>18</v>
      </c>
      <c r="C5">
        <f>1+1+1+1+1</f>
        <v>5</v>
      </c>
      <c r="D5">
        <f>1+1+1</f>
        <v>3</v>
      </c>
      <c r="E5" s="2">
        <f t="shared" si="0"/>
        <v>0.69230769230769229</v>
      </c>
      <c r="F5">
        <f>5+3+12+4+1+6+7+4+2+10+0+3+1+4+3+8+5+9+8+3+7+6+1+7+11+11</f>
        <v>141</v>
      </c>
      <c r="G5">
        <f>3+6+0+2+2+0+6+4+2+0+8+0+0+3+5+0+4+1+1+11+7+5+0+4+3+1</f>
        <v>78</v>
      </c>
      <c r="H5">
        <f t="shared" si="1"/>
        <v>63</v>
      </c>
      <c r="I5">
        <f>60+60+60+60</f>
        <v>240</v>
      </c>
      <c r="J5">
        <f>40</f>
        <v>40</v>
      </c>
      <c r="K5">
        <f>20</f>
        <v>20</v>
      </c>
      <c r="L5">
        <f t="shared" si="2"/>
        <v>180</v>
      </c>
      <c r="M5">
        <f t="shared" si="3"/>
        <v>15</v>
      </c>
      <c r="N5">
        <f>10+10+10+10+10</f>
        <v>50</v>
      </c>
      <c r="O5">
        <f t="shared" ref="O5" si="9">SUM(I5:N5)</f>
        <v>545</v>
      </c>
    </row>
    <row r="6" spans="1:27" x14ac:dyDescent="0.25">
      <c r="A6" s="3" t="s">
        <v>42</v>
      </c>
      <c r="B6">
        <f>1+1+1+1+1+1+1+1+1+1+1+1+1+1+1+1+1+1+1+1+1+1+1+1+1</f>
        <v>25</v>
      </c>
      <c r="C6">
        <f>1+1+1+1+1+1+1+1+1+1+1+1+1+1+1+1+1+1+1+1+1</f>
        <v>21</v>
      </c>
      <c r="D6">
        <f>1</f>
        <v>1</v>
      </c>
      <c r="E6" s="2">
        <f t="shared" ref="E6:E120" si="10">(B6)/(B6+C6+D6)</f>
        <v>0.53191489361702127</v>
      </c>
      <c r="F6">
        <f>5+6+19+7+3+8+4+11+4+11+10+10+0+1+0+4+5+8+5+15+5+6+1+12+4+0+2+10+13+5+12+11+3+6+10+2+11+1+10+7+1+2+5+10+8+4+4</f>
        <v>301</v>
      </c>
      <c r="G6">
        <f>6+7+2+8+8+7+10+4+12+0+2+2+1+0+1+5+2+5+5+5+7+13+9+11+2+10+7+5+12+7+0+8+7+5+8+6+2+0+1+8+4+13+3+2+4+0+5</f>
        <v>251</v>
      </c>
      <c r="H6">
        <f>F6-G6</f>
        <v>50</v>
      </c>
      <c r="I6">
        <f>60</f>
        <v>60</v>
      </c>
      <c r="J6">
        <f>40+40+40</f>
        <v>120</v>
      </c>
      <c r="K6">
        <f>20+20</f>
        <v>40</v>
      </c>
      <c r="L6">
        <f t="shared" ref="L6:L110" si="11">B6*10</f>
        <v>250</v>
      </c>
      <c r="M6">
        <f>D6*5</f>
        <v>5</v>
      </c>
      <c r="N6">
        <f>10+10+10+10+10+10+10+10+10+10</f>
        <v>100</v>
      </c>
      <c r="O6">
        <f t="shared" ref="O6:O103" si="12">SUM(I6:N6)</f>
        <v>575</v>
      </c>
    </row>
    <row r="7" spans="1:27" x14ac:dyDescent="0.25">
      <c r="A7" s="3" t="s">
        <v>166</v>
      </c>
      <c r="B7">
        <f>1+1</f>
        <v>2</v>
      </c>
      <c r="C7">
        <f>1+1+1+1+1+1+1+1</f>
        <v>8</v>
      </c>
      <c r="D7">
        <f>1</f>
        <v>1</v>
      </c>
      <c r="E7" s="2">
        <f t="shared" si="10"/>
        <v>0.18181818181818182</v>
      </c>
      <c r="F7">
        <f>4+2+4+6+5+2+4+7+3+7+8</f>
        <v>52</v>
      </c>
      <c r="G7">
        <f>5+15+8+7+7+6+5+5+8+7+2</f>
        <v>75</v>
      </c>
      <c r="H7">
        <f t="shared" ref="H7" si="13">F7-G7</f>
        <v>-23</v>
      </c>
      <c r="K7">
        <f>20</f>
        <v>20</v>
      </c>
      <c r="L7">
        <f t="shared" si="11"/>
        <v>20</v>
      </c>
      <c r="M7">
        <f t="shared" ref="M7:M73" si="14">D7*5</f>
        <v>5</v>
      </c>
      <c r="N7">
        <f>10+10+10</f>
        <v>30</v>
      </c>
      <c r="O7">
        <f t="shared" si="12"/>
        <v>75</v>
      </c>
    </row>
    <row r="8" spans="1:27" ht="14.25" customHeight="1" x14ac:dyDescent="0.25">
      <c r="A8" s="3" t="s">
        <v>102</v>
      </c>
      <c r="B8">
        <f>1+1+1+1+1+1+1+1+1+1+1+1+1+1</f>
        <v>14</v>
      </c>
      <c r="C8">
        <f>1+1+1+1+1+1+1+1+1</f>
        <v>9</v>
      </c>
      <c r="E8" s="2">
        <f t="shared" si="10"/>
        <v>0.60869565217391308</v>
      </c>
      <c r="F8">
        <f>6+19+10+0+7+5+2+2+7+0+2+6+8+7+2+9+6+14+15+12+8+1+5</f>
        <v>153</v>
      </c>
      <c r="G8">
        <f>5+1+5+14+1+6+8+4+0+9+9+8+6+2+9+4+3+2+3+0+7+12+8</f>
        <v>126</v>
      </c>
      <c r="H8">
        <f t="shared" ref="H8:H120" si="15">F8-G8</f>
        <v>27</v>
      </c>
      <c r="J8">
        <f>40</f>
        <v>40</v>
      </c>
      <c r="K8">
        <f>20+20</f>
        <v>40</v>
      </c>
      <c r="L8">
        <v>0</v>
      </c>
      <c r="M8">
        <f t="shared" si="14"/>
        <v>0</v>
      </c>
      <c r="N8">
        <f>10+10+10+10+10</f>
        <v>50</v>
      </c>
      <c r="O8">
        <f t="shared" si="12"/>
        <v>130</v>
      </c>
    </row>
    <row r="9" spans="1:27" x14ac:dyDescent="0.25">
      <c r="A9" s="3" t="s">
        <v>43</v>
      </c>
      <c r="B9">
        <f>1+1+1+1+1</f>
        <v>5</v>
      </c>
      <c r="C9">
        <f>1+1+1+1+1+1+1+1+1+1+1+1+1+1+1+1+1+1+1+1+1+1+1+1+1+1+1+1+1+1+1</f>
        <v>31</v>
      </c>
      <c r="E9" s="2">
        <f t="shared" si="10"/>
        <v>0.1388888888888889</v>
      </c>
      <c r="F9">
        <f>1+0+2+6+3+1+5+7+0+1+2+10+10+1+1+7+2+7+4+7+3+4+1+3+0+1+3+1+9+7+4+0+8+0+6+1</f>
        <v>128</v>
      </c>
      <c r="G9">
        <f>15+14+19+8+5+14+16+11+15+16+13+7+8+14+4+6+15+15+10+13+5+13+10+15+12+13+7+15+8+3+14+10+9+14+13+8</f>
        <v>407</v>
      </c>
      <c r="H9">
        <f t="shared" si="15"/>
        <v>-279</v>
      </c>
      <c r="J9">
        <f>40</f>
        <v>40</v>
      </c>
      <c r="L9">
        <f t="shared" ref="L9" si="16">B9*10</f>
        <v>50</v>
      </c>
      <c r="M9">
        <f t="shared" si="14"/>
        <v>0</v>
      </c>
      <c r="N9">
        <f>10+10+10+10+10+10+10+10</f>
        <v>80</v>
      </c>
      <c r="O9">
        <f t="shared" ref="O9" si="17">SUM(I9:N9)</f>
        <v>170</v>
      </c>
    </row>
    <row r="10" spans="1:27" x14ac:dyDescent="0.25">
      <c r="A10" s="3" t="s">
        <v>44</v>
      </c>
      <c r="B10">
        <f>1+1+1+1+1+1+1</f>
        <v>7</v>
      </c>
      <c r="C10">
        <f>1+1+1+1+1+1+1+1+1+1+1+1+1+1+1+1+1</f>
        <v>17</v>
      </c>
      <c r="D10">
        <f>1</f>
        <v>1</v>
      </c>
      <c r="E10" s="2">
        <f t="shared" si="10"/>
        <v>0.28000000000000003</v>
      </c>
      <c r="F10">
        <f>15+1+0+4+5+2+2+4+16+3+3+7+0+4+11+0+0+2+3+4+0+7+3+11+7</f>
        <v>114</v>
      </c>
      <c r="G10">
        <f>1+19+10+8+3+10+6+5+1+11+14+10+3+2+5+9+11+4+17+13+10+3+3+9+9</f>
        <v>196</v>
      </c>
      <c r="H10">
        <f t="shared" si="15"/>
        <v>-82</v>
      </c>
      <c r="K10">
        <f>20+20+20</f>
        <v>60</v>
      </c>
      <c r="L10">
        <f t="shared" si="11"/>
        <v>70</v>
      </c>
      <c r="M10">
        <f t="shared" si="14"/>
        <v>5</v>
      </c>
      <c r="N10">
        <f>10+10+10+10+10+10</f>
        <v>60</v>
      </c>
      <c r="O10">
        <f t="shared" si="12"/>
        <v>195</v>
      </c>
    </row>
    <row r="11" spans="1:27" x14ac:dyDescent="0.25">
      <c r="A11" s="3" t="s">
        <v>172</v>
      </c>
      <c r="B11">
        <f>1+1+1</f>
        <v>3</v>
      </c>
      <c r="E11" s="2">
        <f t="shared" ref="E11:E12" si="18">(B11)/(B11+C11+D11)</f>
        <v>1</v>
      </c>
      <c r="F11">
        <f>8+8+9</f>
        <v>25</v>
      </c>
      <c r="G11">
        <f>0+0+2</f>
        <v>2</v>
      </c>
      <c r="H11">
        <f t="shared" ref="H11:H12" si="19">F11-G11</f>
        <v>23</v>
      </c>
      <c r="I11">
        <f>60</f>
        <v>60</v>
      </c>
      <c r="L11">
        <f t="shared" ref="L11:L12" si="20">B11*10</f>
        <v>30</v>
      </c>
      <c r="M11">
        <f t="shared" ref="M11:M12" si="21">D11*5</f>
        <v>0</v>
      </c>
      <c r="N11">
        <f>10</f>
        <v>10</v>
      </c>
      <c r="O11">
        <f t="shared" ref="O11:O12" si="22">SUM(I11:N11)</f>
        <v>100</v>
      </c>
    </row>
    <row r="12" spans="1:27" x14ac:dyDescent="0.25">
      <c r="A12" s="3" t="s">
        <v>229</v>
      </c>
      <c r="B12">
        <f>1</f>
        <v>1</v>
      </c>
      <c r="C12">
        <f>1+1+1</f>
        <v>3</v>
      </c>
      <c r="E12" s="2">
        <f t="shared" si="18"/>
        <v>0.25</v>
      </c>
      <c r="F12">
        <f>5+7+4+1</f>
        <v>17</v>
      </c>
      <c r="G12">
        <f>3+11+7+6</f>
        <v>27</v>
      </c>
      <c r="H12">
        <f t="shared" si="19"/>
        <v>-10</v>
      </c>
      <c r="L12">
        <f t="shared" si="20"/>
        <v>10</v>
      </c>
      <c r="M12">
        <f t="shared" si="21"/>
        <v>0</v>
      </c>
      <c r="N12">
        <f>10</f>
        <v>10</v>
      </c>
      <c r="O12">
        <f t="shared" si="22"/>
        <v>20</v>
      </c>
    </row>
    <row r="13" spans="1:27" x14ac:dyDescent="0.25">
      <c r="A13" s="3" t="s">
        <v>45</v>
      </c>
      <c r="B13">
        <f>1+1+1+1+1+1+1+1+1+1+1+1+1+1+1+1+1+1+1+1+1+1+1+1+1+1</f>
        <v>26</v>
      </c>
      <c r="C13">
        <f>1+1+1+1+1+1+1+1+1+1+1+1+1+1+1+1+1+1+1+1+1+1+1</f>
        <v>23</v>
      </c>
      <c r="E13" s="2">
        <f t="shared" si="10"/>
        <v>0.53061224489795922</v>
      </c>
      <c r="F13">
        <f>5+0+15+4+9+5+0+10+5+7+2+6+6+7+13+9+16+3+12+4+2+1+1+7+1+0+13+2+6+10+5+3+8+2+10+13+4+4+14+11+5+3+5+9+2+2+13+5+2</f>
        <v>301</v>
      </c>
      <c r="G13">
        <f>10+4+0+8+10+6+13+2+4+8+6+7+0+1+3+8+8+5+2+5+3+13+2+6+0+1+4+14+7+6+10+7+1+11+8+3+2+1+5+7+4+2+3+0+10+7+6+2+5</f>
        <v>260</v>
      </c>
      <c r="H13">
        <f>F13-G13</f>
        <v>41</v>
      </c>
      <c r="I13">
        <f>60+60+60</f>
        <v>180</v>
      </c>
      <c r="J13">
        <f>40+40+40+40</f>
        <v>160</v>
      </c>
      <c r="K13">
        <f>20</f>
        <v>20</v>
      </c>
      <c r="L13">
        <f t="shared" si="11"/>
        <v>260</v>
      </c>
      <c r="M13">
        <f t="shared" si="14"/>
        <v>0</v>
      </c>
      <c r="N13">
        <f>10+10+10+10+10+10+10+10+10+10</f>
        <v>100</v>
      </c>
      <c r="O13">
        <f t="shared" si="12"/>
        <v>720</v>
      </c>
    </row>
    <row r="14" spans="1:27" x14ac:dyDescent="0.25">
      <c r="A14" s="3" t="s">
        <v>70</v>
      </c>
      <c r="B14">
        <f>1+1+1+1+1+1+1+1+1+1+1+1+1+1+1+1+1+1+1+1</f>
        <v>20</v>
      </c>
      <c r="C14">
        <f>1+1+1+1+1+1+1+1+1+1+1+1+1</f>
        <v>13</v>
      </c>
      <c r="E14" s="2">
        <f t="shared" si="10"/>
        <v>0.60606060606060608</v>
      </c>
      <c r="F14">
        <f>5+5+4+4+3+14+8+15+6+3+14+3+14+2+9+6+4+4+3+7+3+2+2+1+5+3+3+4+2+4+4+12+1</f>
        <v>179</v>
      </c>
      <c r="G14">
        <f>6+2+5+5+5+1+6+0+7+2+3+0+3+1+0+9+2+6+2+8+2+3+1+6+3+4+5+2+1+2+5+4+0</f>
        <v>111</v>
      </c>
      <c r="H14">
        <f>F14-G14</f>
        <v>68</v>
      </c>
      <c r="I14">
        <f>60+60</f>
        <v>120</v>
      </c>
      <c r="K14">
        <f>20+20+20</f>
        <v>60</v>
      </c>
      <c r="L14">
        <f t="shared" si="11"/>
        <v>200</v>
      </c>
      <c r="M14">
        <f t="shared" si="14"/>
        <v>0</v>
      </c>
      <c r="N14">
        <f>10+10+10+10+10+10+10</f>
        <v>70</v>
      </c>
      <c r="O14">
        <f t="shared" si="12"/>
        <v>450</v>
      </c>
    </row>
    <row r="15" spans="1:27" x14ac:dyDescent="0.25">
      <c r="A15" s="3" t="s">
        <v>46</v>
      </c>
      <c r="B15">
        <f>1+1+1+1+1+1+1+1+1+1+1+1+1+1+1+1+1+1+1+1</f>
        <v>20</v>
      </c>
      <c r="C15">
        <f>1+1+1+1+1+1+1+1+1+1+1+1+1+1+1+1+1+1+1+1+1</f>
        <v>21</v>
      </c>
      <c r="D15">
        <f>1+1</f>
        <v>2</v>
      </c>
      <c r="E15" s="2">
        <f t="shared" si="10"/>
        <v>0.46511627906976744</v>
      </c>
      <c r="F15">
        <f>4+14+10+0+5+6+6+1+5+4+0+10+7+2+0+2+4+1+7+10+8+1+3+10+7+6+10+2+9+3+0+0+7+3+3+8+3+6+3+2+10+4+4</f>
        <v>210</v>
      </c>
      <c r="G15">
        <f>4+0+0+13+4+1+2+5+4+5+4+0+6+3+4+8+7+9+7+3+4+9+6+1+6+10+0+3+1+11+4+3+10+10+2+7+1+3+0+3+7+10+12</f>
        <v>212</v>
      </c>
      <c r="H15">
        <f t="shared" si="15"/>
        <v>-2</v>
      </c>
      <c r="I15">
        <f>60</f>
        <v>60</v>
      </c>
      <c r="J15">
        <f>40+40+40</f>
        <v>120</v>
      </c>
      <c r="L15">
        <f t="shared" si="11"/>
        <v>200</v>
      </c>
      <c r="M15">
        <f t="shared" si="14"/>
        <v>10</v>
      </c>
      <c r="N15">
        <f>10+10+10+10+10+10+10+10+10</f>
        <v>90</v>
      </c>
      <c r="O15">
        <f t="shared" ref="O15" si="23">SUM(I15:N15)</f>
        <v>480</v>
      </c>
    </row>
    <row r="16" spans="1:27" x14ac:dyDescent="0.25">
      <c r="A16" s="3" t="s">
        <v>47</v>
      </c>
      <c r="B16">
        <f>1+1+1+1+1</f>
        <v>5</v>
      </c>
      <c r="C16">
        <f>1+1</f>
        <v>2</v>
      </c>
      <c r="D16">
        <f>1</f>
        <v>1</v>
      </c>
      <c r="E16" s="2">
        <f t="shared" si="10"/>
        <v>0.625</v>
      </c>
      <c r="F16">
        <f>2+4+13+14+6+2+4+5</f>
        <v>50</v>
      </c>
      <c r="G16">
        <f>3+0+0+0+0+3+4+2</f>
        <v>12</v>
      </c>
      <c r="H16">
        <f t="shared" si="15"/>
        <v>38</v>
      </c>
      <c r="I16">
        <f>60</f>
        <v>60</v>
      </c>
      <c r="L16">
        <f t="shared" si="11"/>
        <v>50</v>
      </c>
      <c r="M16">
        <f t="shared" si="14"/>
        <v>5</v>
      </c>
      <c r="N16">
        <f>10+10</f>
        <v>20</v>
      </c>
      <c r="O16">
        <f t="shared" si="12"/>
        <v>135</v>
      </c>
    </row>
    <row r="17" spans="1:15" x14ac:dyDescent="0.25">
      <c r="A17" s="3" t="s">
        <v>48</v>
      </c>
      <c r="B17">
        <f>1+1+1+1+1+1+1+1+1+1+1+1+1+1</f>
        <v>14</v>
      </c>
      <c r="C17">
        <f>1+1+1+1+1+1+1+1+1+1</f>
        <v>10</v>
      </c>
      <c r="D17">
        <f>1</f>
        <v>1</v>
      </c>
      <c r="E17" s="2">
        <f t="shared" si="10"/>
        <v>0.56000000000000005</v>
      </c>
      <c r="F17">
        <f>4+7+5+4+8+4+9+10+3+6+13+3+4+10+6+0+5+2+12+2+1+3+10+6+1</f>
        <v>138</v>
      </c>
      <c r="G17">
        <f>4+6+10+4+2+15+9+11+3+1+2+5+6+2+1+6+0+7+0+11+9+3+5+3</f>
        <v>125</v>
      </c>
      <c r="H17">
        <f t="shared" si="15"/>
        <v>13</v>
      </c>
      <c r="J17">
        <f>40+40+40+40</f>
        <v>160</v>
      </c>
      <c r="K17">
        <f>20</f>
        <v>20</v>
      </c>
      <c r="L17">
        <f t="shared" si="11"/>
        <v>140</v>
      </c>
      <c r="M17">
        <f t="shared" si="14"/>
        <v>5</v>
      </c>
      <c r="N17">
        <f>10+10+10+10+10+10</f>
        <v>60</v>
      </c>
      <c r="O17">
        <f t="shared" si="12"/>
        <v>385</v>
      </c>
    </row>
    <row r="18" spans="1:15" x14ac:dyDescent="0.25">
      <c r="A18" s="3" t="s">
        <v>118</v>
      </c>
      <c r="B18">
        <f>1</f>
        <v>1</v>
      </c>
      <c r="C18">
        <f>1+1+1+1+1+1</f>
        <v>6</v>
      </c>
      <c r="E18" s="2">
        <f t="shared" si="10"/>
        <v>0.14285714285714285</v>
      </c>
      <c r="F18">
        <f>0+6+6+0+3+10+0</f>
        <v>25</v>
      </c>
      <c r="G18">
        <f>11+9+9+7+1+11</f>
        <v>48</v>
      </c>
      <c r="H18">
        <f t="shared" si="15"/>
        <v>-23</v>
      </c>
      <c r="L18">
        <f t="shared" si="11"/>
        <v>10</v>
      </c>
      <c r="M18">
        <f t="shared" si="14"/>
        <v>0</v>
      </c>
      <c r="N18">
        <f>10+10</f>
        <v>20</v>
      </c>
      <c r="O18">
        <f t="shared" ref="O18" si="24">SUM(I18:N18)</f>
        <v>30</v>
      </c>
    </row>
    <row r="19" spans="1:15" x14ac:dyDescent="0.25">
      <c r="A19" s="3" t="s">
        <v>171</v>
      </c>
      <c r="B19">
        <f>1+1+1+1+1</f>
        <v>5</v>
      </c>
      <c r="C19">
        <f>1</f>
        <v>1</v>
      </c>
      <c r="E19" s="2">
        <f t="shared" si="10"/>
        <v>0.83333333333333337</v>
      </c>
      <c r="F19">
        <f>2+13+4+11+15+10</f>
        <v>55</v>
      </c>
      <c r="G19">
        <f>3+2+3+7+0+1</f>
        <v>16</v>
      </c>
      <c r="H19">
        <f t="shared" si="15"/>
        <v>39</v>
      </c>
      <c r="J19">
        <f>40</f>
        <v>40</v>
      </c>
      <c r="K19">
        <f>20</f>
        <v>20</v>
      </c>
      <c r="L19">
        <f t="shared" si="11"/>
        <v>50</v>
      </c>
      <c r="M19">
        <f t="shared" si="14"/>
        <v>0</v>
      </c>
      <c r="N19">
        <f>10+10</f>
        <v>20</v>
      </c>
      <c r="O19">
        <f t="shared" ref="O19" si="25">SUM(I19:N19)</f>
        <v>130</v>
      </c>
    </row>
    <row r="20" spans="1:15" x14ac:dyDescent="0.25">
      <c r="A20" s="3" t="s">
        <v>152</v>
      </c>
      <c r="C20">
        <f>1+1+1+1+1+1+1+1+1</f>
        <v>9</v>
      </c>
      <c r="E20" s="2">
        <f t="shared" si="10"/>
        <v>0</v>
      </c>
      <c r="F20">
        <f>5+5+8+0+11+3+3+3+2</f>
        <v>40</v>
      </c>
      <c r="G20">
        <f>15+9+9+12+12+7+11+8+11</f>
        <v>94</v>
      </c>
      <c r="H20">
        <f t="shared" si="15"/>
        <v>-54</v>
      </c>
      <c r="J20">
        <f>40</f>
        <v>40</v>
      </c>
      <c r="L20">
        <f t="shared" si="11"/>
        <v>0</v>
      </c>
      <c r="M20">
        <f t="shared" si="14"/>
        <v>0</v>
      </c>
      <c r="N20">
        <f>10+10</f>
        <v>20</v>
      </c>
      <c r="O20">
        <f t="shared" ref="O20" si="26">SUM(I20:N20)</f>
        <v>60</v>
      </c>
    </row>
    <row r="21" spans="1:15" x14ac:dyDescent="0.25">
      <c r="A21" s="3" t="s">
        <v>72</v>
      </c>
      <c r="B21">
        <f>1+1+1+1+1+1+1+1+1+1+1+1+1+1+1+1+1+1</f>
        <v>18</v>
      </c>
      <c r="C21">
        <f>1+1+1+1+1+1</f>
        <v>6</v>
      </c>
      <c r="D21">
        <f>1</f>
        <v>1</v>
      </c>
      <c r="E21" s="2">
        <f t="shared" ref="E21:E26" si="27">(B21)/(B21+C21+D21)</f>
        <v>0.72</v>
      </c>
      <c r="F21">
        <f>9+1+16+9+5+16+14+7+9+8+7+1+9+7+20+15+3+14+11+5+3+14+2+7+0</f>
        <v>212</v>
      </c>
      <c r="G21">
        <f>2+6+5+7+1+1+1+2+3+1+11+2+5+1+2+1+3+4+1+9+2+0+4+0+1</f>
        <v>75</v>
      </c>
      <c r="H21">
        <f t="shared" ref="H21:H26" si="28">F21-G21</f>
        <v>137</v>
      </c>
      <c r="I21">
        <f>60+60+60</f>
        <v>180</v>
      </c>
      <c r="K21">
        <f>20</f>
        <v>20</v>
      </c>
      <c r="L21">
        <f t="shared" ref="L21:L26" si="29">B21*10</f>
        <v>180</v>
      </c>
      <c r="M21">
        <f t="shared" ref="M21:M26" si="30">D21*5</f>
        <v>5</v>
      </c>
      <c r="N21">
        <f>10+10+10+10+10</f>
        <v>50</v>
      </c>
      <c r="O21">
        <f t="shared" ref="O21" si="31">SUM(I21:N21)</f>
        <v>435</v>
      </c>
    </row>
    <row r="22" spans="1:15" x14ac:dyDescent="0.25">
      <c r="A22" s="3" t="s">
        <v>227</v>
      </c>
      <c r="B22">
        <f>1+1</f>
        <v>2</v>
      </c>
      <c r="C22">
        <f>1</f>
        <v>1</v>
      </c>
      <c r="D22">
        <f>1</f>
        <v>1</v>
      </c>
      <c r="E22" s="2">
        <f t="shared" si="27"/>
        <v>0.5</v>
      </c>
      <c r="F22">
        <f>4+5+7+7</f>
        <v>23</v>
      </c>
      <c r="G22">
        <f>4+0+4+8</f>
        <v>16</v>
      </c>
      <c r="H22">
        <f t="shared" si="28"/>
        <v>7</v>
      </c>
      <c r="K22">
        <f>20</f>
        <v>20</v>
      </c>
      <c r="L22">
        <f t="shared" si="29"/>
        <v>20</v>
      </c>
      <c r="M22">
        <f t="shared" si="30"/>
        <v>5</v>
      </c>
      <c r="N22">
        <f>10</f>
        <v>10</v>
      </c>
      <c r="O22">
        <f t="shared" ref="O22" si="32">SUM(I22:N22)</f>
        <v>55</v>
      </c>
    </row>
    <row r="23" spans="1:15" x14ac:dyDescent="0.25">
      <c r="A23" s="3" t="s">
        <v>186</v>
      </c>
      <c r="B23">
        <f>1+1</f>
        <v>2</v>
      </c>
      <c r="C23">
        <f>1+1</f>
        <v>2</v>
      </c>
      <c r="E23" s="2">
        <f t="shared" ref="E23:E24" si="33">(B23)/(B23+C23+D23)</f>
        <v>0.5</v>
      </c>
      <c r="F23">
        <f>2+9+7+1</f>
        <v>19</v>
      </c>
      <c r="G23">
        <f>6+3+3+6</f>
        <v>18</v>
      </c>
      <c r="H23">
        <f t="shared" ref="H23:H24" si="34">F23-G23</f>
        <v>1</v>
      </c>
      <c r="K23">
        <f>20</f>
        <v>20</v>
      </c>
      <c r="L23">
        <f t="shared" ref="L23:L24" si="35">B23*10</f>
        <v>20</v>
      </c>
      <c r="M23">
        <f t="shared" ref="M23:M24" si="36">D23*5</f>
        <v>0</v>
      </c>
      <c r="N23">
        <f>10</f>
        <v>10</v>
      </c>
      <c r="O23">
        <f t="shared" ref="O23:O24" si="37">SUM(I23:N23)</f>
        <v>50</v>
      </c>
    </row>
    <row r="24" spans="1:15" x14ac:dyDescent="0.25">
      <c r="A24" s="3" t="s">
        <v>230</v>
      </c>
      <c r="B24">
        <f>1+1+1+1+1</f>
        <v>5</v>
      </c>
      <c r="E24" s="2">
        <f t="shared" si="33"/>
        <v>1</v>
      </c>
      <c r="F24">
        <f>10+8+6+8+5</f>
        <v>37</v>
      </c>
      <c r="G24">
        <f>3+5+5+6+3</f>
        <v>22</v>
      </c>
      <c r="H24">
        <f t="shared" si="34"/>
        <v>15</v>
      </c>
      <c r="I24">
        <f>60</f>
        <v>60</v>
      </c>
      <c r="L24">
        <f t="shared" si="35"/>
        <v>50</v>
      </c>
      <c r="M24">
        <f t="shared" si="36"/>
        <v>0</v>
      </c>
      <c r="N24">
        <f>10</f>
        <v>10</v>
      </c>
      <c r="O24">
        <f t="shared" si="37"/>
        <v>120</v>
      </c>
    </row>
    <row r="25" spans="1:15" x14ac:dyDescent="0.25">
      <c r="A25" s="3" t="s">
        <v>123</v>
      </c>
      <c r="B25">
        <f>1+1+1+1+1</f>
        <v>5</v>
      </c>
      <c r="E25" s="2">
        <f t="shared" si="27"/>
        <v>1</v>
      </c>
      <c r="F25">
        <f>9+4+1+1+1</f>
        <v>16</v>
      </c>
      <c r="G25">
        <f>0+0+0+0+0</f>
        <v>0</v>
      </c>
      <c r="H25">
        <f t="shared" si="28"/>
        <v>16</v>
      </c>
      <c r="I25">
        <f>60</f>
        <v>60</v>
      </c>
      <c r="L25">
        <f t="shared" si="29"/>
        <v>50</v>
      </c>
      <c r="M25">
        <f t="shared" si="30"/>
        <v>0</v>
      </c>
      <c r="N25">
        <f>10</f>
        <v>10</v>
      </c>
      <c r="O25">
        <f t="shared" ref="O25" si="38">SUM(I25:N25)</f>
        <v>120</v>
      </c>
    </row>
    <row r="26" spans="1:15" x14ac:dyDescent="0.25">
      <c r="A26" s="3" t="s">
        <v>184</v>
      </c>
      <c r="B26">
        <f>1+1+1</f>
        <v>3</v>
      </c>
      <c r="C26">
        <f>1+1</f>
        <v>2</v>
      </c>
      <c r="E26" s="2">
        <f t="shared" si="27"/>
        <v>0.6</v>
      </c>
      <c r="F26">
        <f>4+13+4+6+7</f>
        <v>34</v>
      </c>
      <c r="G26">
        <f>3+2+5+1+15</f>
        <v>26</v>
      </c>
      <c r="H26">
        <f t="shared" si="28"/>
        <v>8</v>
      </c>
      <c r="J26">
        <f>40</f>
        <v>40</v>
      </c>
      <c r="L26">
        <f t="shared" si="29"/>
        <v>30</v>
      </c>
      <c r="M26">
        <f t="shared" si="30"/>
        <v>0</v>
      </c>
      <c r="N26">
        <f>10</f>
        <v>10</v>
      </c>
      <c r="O26">
        <f t="shared" ref="O26" si="39">SUM(I26:N26)</f>
        <v>80</v>
      </c>
    </row>
    <row r="27" spans="1:15" x14ac:dyDescent="0.25">
      <c r="A27" s="3" t="s">
        <v>68</v>
      </c>
      <c r="B27">
        <f>1+1+1+1+1+1+1+1+1+1+1+1+1+1+1+1+1</f>
        <v>17</v>
      </c>
      <c r="C27">
        <f>1+1+1+1+1+1+1+1+1+1+1</f>
        <v>11</v>
      </c>
      <c r="D27">
        <f>1+1+1+1</f>
        <v>4</v>
      </c>
      <c r="E27" s="2">
        <f t="shared" si="10"/>
        <v>0.53125</v>
      </c>
      <c r="F27">
        <f>7+1+0+1+5+4+13+9+3+2+5+8+10+4+2+11+0+2+10+3+1+1+2+6+4+6+4+2+0+0+7+3</f>
        <v>136</v>
      </c>
      <c r="G27">
        <f>7+9+3+4+4+5+0+0+5+2+5+3+0+9+0+0+3+10+0+1+0+0+2+4+1+1+6+1+2+1+5+11</f>
        <v>104</v>
      </c>
      <c r="H27">
        <f t="shared" si="15"/>
        <v>32</v>
      </c>
      <c r="I27">
        <f>60+60</f>
        <v>120</v>
      </c>
      <c r="J27">
        <f>40+40+40</f>
        <v>120</v>
      </c>
      <c r="L27">
        <f t="shared" si="11"/>
        <v>170</v>
      </c>
      <c r="M27">
        <f t="shared" si="14"/>
        <v>20</v>
      </c>
      <c r="N27">
        <f>10+10+10+10+10+10+10</f>
        <v>70</v>
      </c>
      <c r="O27">
        <f t="shared" si="12"/>
        <v>500</v>
      </c>
    </row>
    <row r="28" spans="1:15" x14ac:dyDescent="0.25">
      <c r="A28" s="3" t="s">
        <v>73</v>
      </c>
      <c r="B28">
        <f>1+1+1+1</f>
        <v>4</v>
      </c>
      <c r="E28" s="2">
        <f t="shared" ref="E28" si="40">(B28)/(B28+C28+D28)</f>
        <v>1</v>
      </c>
      <c r="F28">
        <f>9+8+5+4</f>
        <v>26</v>
      </c>
      <c r="G28">
        <f>1+2+1+2</f>
        <v>6</v>
      </c>
      <c r="H28">
        <f t="shared" ref="H28" si="41">F28-G28</f>
        <v>20</v>
      </c>
      <c r="I28">
        <f>60</f>
        <v>60</v>
      </c>
      <c r="L28">
        <f t="shared" ref="L28" si="42">B28*10</f>
        <v>40</v>
      </c>
      <c r="M28">
        <f t="shared" ref="M28" si="43">D28*5</f>
        <v>0</v>
      </c>
      <c r="N28">
        <f>10</f>
        <v>10</v>
      </c>
      <c r="O28">
        <f t="shared" ref="O28" si="44">SUM(I28:N28)</f>
        <v>110</v>
      </c>
    </row>
    <row r="29" spans="1:15" x14ac:dyDescent="0.25">
      <c r="A29" s="3" t="s">
        <v>49</v>
      </c>
      <c r="B29">
        <f>1+1</f>
        <v>2</v>
      </c>
      <c r="C29">
        <f>1+1+1</f>
        <v>3</v>
      </c>
      <c r="E29" s="2">
        <f t="shared" si="10"/>
        <v>0.4</v>
      </c>
      <c r="F29">
        <f>4+0+0+8+7</f>
        <v>19</v>
      </c>
      <c r="G29">
        <f>10+20+13+4+4</f>
        <v>51</v>
      </c>
      <c r="H29">
        <f t="shared" si="15"/>
        <v>-32</v>
      </c>
      <c r="I29">
        <f>60</f>
        <v>60</v>
      </c>
      <c r="L29">
        <f t="shared" si="11"/>
        <v>20</v>
      </c>
      <c r="M29">
        <f t="shared" si="14"/>
        <v>0</v>
      </c>
      <c r="N29">
        <f>10</f>
        <v>10</v>
      </c>
      <c r="O29">
        <f t="shared" ref="O29" si="45">SUM(I29:N29)</f>
        <v>90</v>
      </c>
    </row>
    <row r="30" spans="1:15" x14ac:dyDescent="0.25">
      <c r="A30" s="3" t="s">
        <v>119</v>
      </c>
      <c r="B30">
        <f>1+1+1+1+1+1+1+1</f>
        <v>8</v>
      </c>
      <c r="C30">
        <f>1+1+1+1+1+1</f>
        <v>6</v>
      </c>
      <c r="D30">
        <f>1</f>
        <v>1</v>
      </c>
      <c r="E30" s="2">
        <f t="shared" ref="E30" si="46">(B30)/(B30+C30+D30)</f>
        <v>0.53333333333333333</v>
      </c>
      <c r="F30">
        <f>0+9+3+1+1+3+9+12+9+6+9+6+2+0+5</f>
        <v>75</v>
      </c>
      <c r="G30">
        <f>7+6+0+0+0+4+2+0+9+8+10+8+1+3+4</f>
        <v>62</v>
      </c>
      <c r="H30">
        <f t="shared" ref="H30" si="47">F30-G30</f>
        <v>13</v>
      </c>
      <c r="I30">
        <f>60</f>
        <v>60</v>
      </c>
      <c r="J30">
        <f>40</f>
        <v>40</v>
      </c>
      <c r="K30">
        <f>20+20</f>
        <v>40</v>
      </c>
      <c r="L30">
        <f t="shared" ref="L30" si="48">B30*10</f>
        <v>80</v>
      </c>
      <c r="M30">
        <f t="shared" ref="M30" si="49">D30*5</f>
        <v>5</v>
      </c>
      <c r="N30">
        <f>10+10+10+10</f>
        <v>40</v>
      </c>
      <c r="O30">
        <f t="shared" ref="O30" si="50">SUM(I30:N30)</f>
        <v>265</v>
      </c>
    </row>
    <row r="31" spans="1:15" x14ac:dyDescent="0.25">
      <c r="A31" s="3" t="s">
        <v>96</v>
      </c>
      <c r="B31">
        <f>1+1+1+1+1+1+1+1+1+1+1+1</f>
        <v>12</v>
      </c>
      <c r="C31">
        <f>1+1+1</f>
        <v>3</v>
      </c>
      <c r="E31" s="2">
        <f t="shared" ref="E31:E38" si="51">(B31)/(B31+C31+D31)</f>
        <v>0.8</v>
      </c>
      <c r="F31">
        <f>4+11+6+6+1+9+11+11+4+6+9+0+2+5+5</f>
        <v>90</v>
      </c>
      <c r="G31">
        <f>7+0+1+4+14+1+3+4+3+4+5+3+1+4+4</f>
        <v>58</v>
      </c>
      <c r="H31">
        <f t="shared" ref="H31:H38" si="52">F31-G31</f>
        <v>32</v>
      </c>
      <c r="I31">
        <f>60+60</f>
        <v>120</v>
      </c>
      <c r="J31">
        <f>40</f>
        <v>40</v>
      </c>
      <c r="L31">
        <f t="shared" ref="L31:L38" si="53">B31*10</f>
        <v>120</v>
      </c>
      <c r="M31">
        <f t="shared" ref="M31:M38" si="54">D31*5</f>
        <v>0</v>
      </c>
      <c r="N31">
        <f>10+10+10</f>
        <v>30</v>
      </c>
      <c r="O31">
        <f t="shared" ref="O31:O37" si="55">SUM(I31:N31)</f>
        <v>310</v>
      </c>
    </row>
    <row r="32" spans="1:15" x14ac:dyDescent="0.25">
      <c r="A32" s="3" t="s">
        <v>67</v>
      </c>
      <c r="B32">
        <f>1+1</f>
        <v>2</v>
      </c>
      <c r="C32">
        <f>1+1+1+1+1+1</f>
        <v>6</v>
      </c>
      <c r="E32" s="2">
        <f t="shared" ref="E32:E33" si="56">(B32)/(B32+C32+D32)</f>
        <v>0.25</v>
      </c>
      <c r="F32">
        <f>4+13+13+7+5+6+1+2</f>
        <v>51</v>
      </c>
      <c r="G32">
        <f>5+0+0+9+6+10+10+11</f>
        <v>51</v>
      </c>
      <c r="H32">
        <f t="shared" ref="H32:H33" si="57">F32-G32</f>
        <v>0</v>
      </c>
      <c r="K32">
        <f>20</f>
        <v>20</v>
      </c>
      <c r="L32">
        <f t="shared" ref="L32:L33" si="58">B32*10</f>
        <v>20</v>
      </c>
      <c r="M32">
        <f t="shared" ref="M32:M33" si="59">D32*5</f>
        <v>0</v>
      </c>
      <c r="N32">
        <f>10+10</f>
        <v>20</v>
      </c>
      <c r="O32">
        <f t="shared" ref="O32:O33" si="60">SUM(I32:N32)</f>
        <v>60</v>
      </c>
    </row>
    <row r="33" spans="1:15" x14ac:dyDescent="0.25">
      <c r="A33" s="3" t="s">
        <v>121</v>
      </c>
      <c r="B33">
        <f>1+1+1+1+1+1+1+1+1+1</f>
        <v>10</v>
      </c>
      <c r="C33">
        <f>1+1+1+1+1+1+1+1+1+1+1</f>
        <v>11</v>
      </c>
      <c r="D33">
        <f>1</f>
        <v>1</v>
      </c>
      <c r="E33" s="2">
        <f t="shared" si="56"/>
        <v>0.45454545454545453</v>
      </c>
      <c r="F33">
        <f>13+2+9+0+1+0+7+6+11+5+4+3+0+4+6+2+5+7+4+10+0+0</f>
        <v>99</v>
      </c>
      <c r="G33">
        <f>6+7+6+3+0+1+3+7+0+2+4+5+8+5+1+3+1+2+8+4+4+7</f>
        <v>87</v>
      </c>
      <c r="H33">
        <f t="shared" si="57"/>
        <v>12</v>
      </c>
      <c r="I33">
        <f>60</f>
        <v>60</v>
      </c>
      <c r="L33">
        <f t="shared" si="58"/>
        <v>100</v>
      </c>
      <c r="M33">
        <f t="shared" si="59"/>
        <v>5</v>
      </c>
      <c r="N33">
        <f>10+10+10+10</f>
        <v>40</v>
      </c>
      <c r="O33">
        <f t="shared" si="60"/>
        <v>205</v>
      </c>
    </row>
    <row r="34" spans="1:15" x14ac:dyDescent="0.25">
      <c r="A34" s="3" t="s">
        <v>122</v>
      </c>
      <c r="C34">
        <f>1+1+1+1</f>
        <v>4</v>
      </c>
      <c r="E34" s="2">
        <f t="shared" ref="E34:E36" si="61">(B34)/(B34+C34+D34)</f>
        <v>0</v>
      </c>
      <c r="F34">
        <f>6+3+1+0</f>
        <v>10</v>
      </c>
      <c r="G34">
        <f>13+6+7+1</f>
        <v>27</v>
      </c>
      <c r="H34">
        <f t="shared" ref="H34:H36" si="62">F34-G34</f>
        <v>-17</v>
      </c>
      <c r="L34">
        <f t="shared" ref="L34:L36" si="63">B34*10</f>
        <v>0</v>
      </c>
      <c r="M34">
        <f t="shared" ref="M34:M36" si="64">D34*5</f>
        <v>0</v>
      </c>
      <c r="N34">
        <f>10</f>
        <v>10</v>
      </c>
      <c r="O34">
        <f t="shared" ref="O34" si="65">SUM(I34:N34)</f>
        <v>10</v>
      </c>
    </row>
    <row r="35" spans="1:15" x14ac:dyDescent="0.25">
      <c r="A35" s="3" t="s">
        <v>185</v>
      </c>
      <c r="B35">
        <f>1</f>
        <v>1</v>
      </c>
      <c r="C35">
        <f>1+1+1+1</f>
        <v>4</v>
      </c>
      <c r="E35" s="2">
        <f t="shared" si="61"/>
        <v>0.2</v>
      </c>
      <c r="F35">
        <f>3+5+3+3+3</f>
        <v>17</v>
      </c>
      <c r="G35">
        <f>4+4+16+9+6</f>
        <v>39</v>
      </c>
      <c r="H35">
        <f t="shared" si="62"/>
        <v>-22</v>
      </c>
      <c r="L35">
        <f t="shared" si="63"/>
        <v>10</v>
      </c>
      <c r="M35">
        <f t="shared" si="64"/>
        <v>0</v>
      </c>
      <c r="N35">
        <f>10</f>
        <v>10</v>
      </c>
      <c r="O35">
        <f t="shared" ref="O35" si="66">SUM(I35:N35)</f>
        <v>20</v>
      </c>
    </row>
    <row r="36" spans="1:15" x14ac:dyDescent="0.25">
      <c r="A36" s="3" t="s">
        <v>168</v>
      </c>
      <c r="B36">
        <f>1+1</f>
        <v>2</v>
      </c>
      <c r="C36">
        <f>1</f>
        <v>1</v>
      </c>
      <c r="E36" s="2">
        <f t="shared" si="61"/>
        <v>0.66666666666666663</v>
      </c>
      <c r="F36">
        <f>8+4+0</f>
        <v>12</v>
      </c>
      <c r="G36">
        <f>6+3+11</f>
        <v>20</v>
      </c>
      <c r="H36">
        <f t="shared" si="62"/>
        <v>-8</v>
      </c>
      <c r="K36">
        <f>20</f>
        <v>20</v>
      </c>
      <c r="L36">
        <f t="shared" si="63"/>
        <v>20</v>
      </c>
      <c r="M36">
        <f t="shared" si="64"/>
        <v>0</v>
      </c>
      <c r="N36">
        <f>10</f>
        <v>10</v>
      </c>
      <c r="O36">
        <f t="shared" ref="O36" si="67">SUM(I36:N36)</f>
        <v>50</v>
      </c>
    </row>
    <row r="37" spans="1:15" x14ac:dyDescent="0.25">
      <c r="A37" s="3" t="s">
        <v>69</v>
      </c>
      <c r="B37">
        <f>1+1+1+1+1+1+1+1+1+1+1+1</f>
        <v>12</v>
      </c>
      <c r="C37">
        <f>1+1+1</f>
        <v>3</v>
      </c>
      <c r="D37">
        <f>1</f>
        <v>1</v>
      </c>
      <c r="E37" s="2">
        <f t="shared" si="51"/>
        <v>0.75</v>
      </c>
      <c r="F37">
        <f>7+3+2+7+5+5+5+5+2+9+15+17+13+10+12+12</f>
        <v>129</v>
      </c>
      <c r="G37">
        <f>7+5+8+2+4+3+4+3+5+6+2+3+4+5+1+5</f>
        <v>67</v>
      </c>
      <c r="H37">
        <f t="shared" si="52"/>
        <v>62</v>
      </c>
      <c r="I37">
        <f>60+60+60</f>
        <v>180</v>
      </c>
      <c r="L37">
        <f t="shared" si="53"/>
        <v>120</v>
      </c>
      <c r="M37">
        <f t="shared" si="54"/>
        <v>5</v>
      </c>
      <c r="N37">
        <f>10+10+10</f>
        <v>30</v>
      </c>
      <c r="O37">
        <f t="shared" si="55"/>
        <v>335</v>
      </c>
    </row>
    <row r="38" spans="1:15" x14ac:dyDescent="0.25">
      <c r="A38" s="3" t="s">
        <v>169</v>
      </c>
      <c r="C38">
        <f>1+1+1</f>
        <v>3</v>
      </c>
      <c r="E38" s="2">
        <f t="shared" si="51"/>
        <v>0</v>
      </c>
      <c r="F38">
        <f>1+1+3</f>
        <v>5</v>
      </c>
      <c r="G38">
        <f>12+10+10</f>
        <v>32</v>
      </c>
      <c r="H38">
        <f t="shared" si="52"/>
        <v>-27</v>
      </c>
      <c r="L38">
        <f t="shared" si="53"/>
        <v>0</v>
      </c>
      <c r="M38">
        <f t="shared" si="54"/>
        <v>0</v>
      </c>
      <c r="N38">
        <f>10</f>
        <v>10</v>
      </c>
      <c r="O38">
        <f t="shared" ref="O38" si="68">SUM(I38:N38)</f>
        <v>10</v>
      </c>
    </row>
    <row r="39" spans="1:15" x14ac:dyDescent="0.25">
      <c r="A39" s="3" t="s">
        <v>26</v>
      </c>
      <c r="B39">
        <f>1+1+1+1+1+1+1+1+1</f>
        <v>9</v>
      </c>
      <c r="C39">
        <f>1+1+1+1+1+1+1</f>
        <v>7</v>
      </c>
      <c r="D39">
        <f>1</f>
        <v>1</v>
      </c>
      <c r="E39" s="2">
        <f t="shared" si="10"/>
        <v>0.52941176470588236</v>
      </c>
      <c r="F39">
        <f>10+10+3+8+10+8+6+8+4+1+15+7+1+2+2+6+0</f>
        <v>101</v>
      </c>
      <c r="G39">
        <f>5+8+9+7+9+3+4+2+6+7+6+7+2+11+4+4+2</f>
        <v>96</v>
      </c>
      <c r="H39">
        <f t="shared" si="15"/>
        <v>5</v>
      </c>
      <c r="I39">
        <f>60</f>
        <v>60</v>
      </c>
      <c r="J39">
        <f>40</f>
        <v>40</v>
      </c>
      <c r="K39">
        <f>20</f>
        <v>20</v>
      </c>
      <c r="L39">
        <f t="shared" si="11"/>
        <v>90</v>
      </c>
      <c r="M39">
        <f t="shared" si="14"/>
        <v>5</v>
      </c>
      <c r="N39">
        <f>10+10+10+10</f>
        <v>40</v>
      </c>
      <c r="O39">
        <f t="shared" si="12"/>
        <v>255</v>
      </c>
    </row>
    <row r="40" spans="1:15" x14ac:dyDescent="0.25">
      <c r="A40" s="3" t="s">
        <v>100</v>
      </c>
      <c r="B40">
        <f>1+1+1+1+1+1+1</f>
        <v>7</v>
      </c>
      <c r="C40">
        <f>1+1</f>
        <v>2</v>
      </c>
      <c r="E40" s="2">
        <f t="shared" si="10"/>
        <v>0.77777777777777779</v>
      </c>
      <c r="F40">
        <f>1+6+10+9+2+3+5+6+4</f>
        <v>46</v>
      </c>
      <c r="G40">
        <f>2+5+4+0+1+2+7+1+0</f>
        <v>22</v>
      </c>
      <c r="H40">
        <f t="shared" si="15"/>
        <v>24</v>
      </c>
      <c r="I40">
        <f>60</f>
        <v>60</v>
      </c>
      <c r="J40">
        <f>40</f>
        <v>40</v>
      </c>
      <c r="L40">
        <f t="shared" si="11"/>
        <v>70</v>
      </c>
      <c r="M40">
        <f t="shared" si="14"/>
        <v>0</v>
      </c>
      <c r="N40">
        <f>10+10</f>
        <v>20</v>
      </c>
      <c r="O40">
        <f t="shared" si="12"/>
        <v>190</v>
      </c>
    </row>
    <row r="41" spans="1:15" x14ac:dyDescent="0.25">
      <c r="A41" s="3" t="s">
        <v>50</v>
      </c>
      <c r="B41">
        <f>1+1+1+1+1+1+1+1+1+1+1</f>
        <v>11</v>
      </c>
      <c r="C41">
        <f>1+1+1+1+1+1+1+1+1+1+1+1+1+1+1+1+1+1+1+1+1+1</f>
        <v>22</v>
      </c>
      <c r="D41">
        <f>1</f>
        <v>1</v>
      </c>
      <c r="E41" s="2">
        <f t="shared" si="10"/>
        <v>0.3235294117647059</v>
      </c>
      <c r="F41">
        <f>10+8+0+8+4+6+2+14+0+11+8+3+3+2+0+4+0+6+7+8+2+8+15+18+3+6+3+8+3+0+2+3+4+6</f>
        <v>185</v>
      </c>
      <c r="G41">
        <f>4+10+15+6+7+5+9+1+13+7+7+5+8+17+7+6+10+6+6+1+5+7+1+6+11+7+7+10+7+9+4+8+5+7</f>
        <v>244</v>
      </c>
      <c r="H41">
        <f t="shared" si="15"/>
        <v>-59</v>
      </c>
      <c r="I41">
        <f>60</f>
        <v>60</v>
      </c>
      <c r="J41">
        <f>40+40</f>
        <v>80</v>
      </c>
      <c r="K41">
        <f>20+20</f>
        <v>40</v>
      </c>
      <c r="L41">
        <f t="shared" si="11"/>
        <v>110</v>
      </c>
      <c r="M41">
        <f t="shared" si="14"/>
        <v>5</v>
      </c>
      <c r="N41">
        <f>10+10+10+10+10+10+10+10</f>
        <v>80</v>
      </c>
      <c r="O41">
        <f t="shared" si="12"/>
        <v>375</v>
      </c>
    </row>
    <row r="42" spans="1:15" x14ac:dyDescent="0.25">
      <c r="A42" s="3" t="s">
        <v>179</v>
      </c>
      <c r="B42">
        <f>1+1+1</f>
        <v>3</v>
      </c>
      <c r="C42">
        <f>1+1+1+1+1+1+1+1+1+1</f>
        <v>10</v>
      </c>
      <c r="E42" s="2">
        <f t="shared" si="10"/>
        <v>0.23076923076923078</v>
      </c>
      <c r="F42">
        <f>7+2+4+5+3+2+1+1+1+13+0+2+0</f>
        <v>41</v>
      </c>
      <c r="G42">
        <f>19+7+1+3+9+12+13+10+7+8+9+6+1</f>
        <v>105</v>
      </c>
      <c r="H42">
        <f t="shared" si="15"/>
        <v>-64</v>
      </c>
      <c r="K42">
        <f>20+20</f>
        <v>40</v>
      </c>
      <c r="L42">
        <f t="shared" si="11"/>
        <v>30</v>
      </c>
      <c r="M42">
        <f t="shared" si="14"/>
        <v>0</v>
      </c>
      <c r="N42">
        <f>10+10</f>
        <v>20</v>
      </c>
      <c r="O42">
        <f t="shared" ref="O42" si="69">SUM(I42:N42)</f>
        <v>90</v>
      </c>
    </row>
    <row r="43" spans="1:15" x14ac:dyDescent="0.25">
      <c r="A43" s="3" t="s">
        <v>125</v>
      </c>
      <c r="B43">
        <f>1+1+1+1+1+1+1</f>
        <v>7</v>
      </c>
      <c r="C43">
        <f>1+1+1</f>
        <v>3</v>
      </c>
      <c r="E43" s="2">
        <f t="shared" ref="E43:E46" si="70">(B43)/(B43+C43+D43)</f>
        <v>0.7</v>
      </c>
      <c r="F43">
        <f>5+0+2+0+10+7+9+12+3+6</f>
        <v>54</v>
      </c>
      <c r="G43">
        <f>2+4+10+1+4+5+8+11+2+5</f>
        <v>52</v>
      </c>
      <c r="H43">
        <f t="shared" ref="H43:H46" si="71">F43-G43</f>
        <v>2</v>
      </c>
      <c r="I43">
        <f>60</f>
        <v>60</v>
      </c>
      <c r="L43">
        <f t="shared" ref="L43:L46" si="72">B43*10</f>
        <v>70</v>
      </c>
      <c r="M43">
        <f t="shared" ref="M43:M46" si="73">D43*5</f>
        <v>0</v>
      </c>
      <c r="N43">
        <f>10+10</f>
        <v>20</v>
      </c>
      <c r="O43">
        <f t="shared" ref="O43:O45" si="74">SUM(I43:N43)</f>
        <v>150</v>
      </c>
    </row>
    <row r="44" spans="1:15" x14ac:dyDescent="0.25">
      <c r="A44" s="3" t="s">
        <v>195</v>
      </c>
      <c r="B44">
        <f>1+1+1+1</f>
        <v>4</v>
      </c>
      <c r="E44" s="2">
        <f t="shared" si="70"/>
        <v>1</v>
      </c>
      <c r="F44">
        <f>11+18+3+7</f>
        <v>39</v>
      </c>
      <c r="G44">
        <f>3+3+0+3</f>
        <v>9</v>
      </c>
      <c r="H44">
        <f t="shared" si="71"/>
        <v>30</v>
      </c>
      <c r="I44">
        <f>60</f>
        <v>60</v>
      </c>
      <c r="L44">
        <f t="shared" si="72"/>
        <v>40</v>
      </c>
      <c r="M44">
        <f t="shared" si="73"/>
        <v>0</v>
      </c>
      <c r="N44">
        <f>10</f>
        <v>10</v>
      </c>
      <c r="O44">
        <f t="shared" ref="O44" si="75">SUM(I44:N44)</f>
        <v>110</v>
      </c>
    </row>
    <row r="45" spans="1:15" x14ac:dyDescent="0.25">
      <c r="A45" s="3" t="s">
        <v>151</v>
      </c>
      <c r="B45">
        <f>1+1+1</f>
        <v>3</v>
      </c>
      <c r="C45">
        <f>1+1</f>
        <v>2</v>
      </c>
      <c r="D45">
        <f>1</f>
        <v>1</v>
      </c>
      <c r="E45" s="2">
        <f t="shared" ref="E45" si="76">(B45)/(B45+C45+D45)</f>
        <v>0.5</v>
      </c>
      <c r="F45">
        <f>5+6+9+9+2+5</f>
        <v>36</v>
      </c>
      <c r="G45">
        <f>5+4+5+1+3+6</f>
        <v>24</v>
      </c>
      <c r="H45">
        <f>F45-G45</f>
        <v>12</v>
      </c>
      <c r="J45">
        <f>40</f>
        <v>40</v>
      </c>
      <c r="L45">
        <f t="shared" ref="L45" si="77">B45*10</f>
        <v>30</v>
      </c>
      <c r="M45">
        <f t="shared" ref="M45" si="78">D45*5</f>
        <v>5</v>
      </c>
      <c r="N45">
        <f>10</f>
        <v>10</v>
      </c>
      <c r="O45">
        <f t="shared" si="74"/>
        <v>85</v>
      </c>
    </row>
    <row r="46" spans="1:15" x14ac:dyDescent="0.25">
      <c r="A46" s="3" t="s">
        <v>134</v>
      </c>
      <c r="B46">
        <f>1+1+1</f>
        <v>3</v>
      </c>
      <c r="C46">
        <f>1+1+1+1+1+1+1+1+1+1+1</f>
        <v>11</v>
      </c>
      <c r="E46" s="2">
        <f t="shared" si="70"/>
        <v>0.21428571428571427</v>
      </c>
      <c r="F46">
        <f>0+1+0+7+1+0+6+5+5+3+1+16+9+3</f>
        <v>57</v>
      </c>
      <c r="G46">
        <f>13+14+12+8+7+12+7+4+11+2+6+8+11+7</f>
        <v>122</v>
      </c>
      <c r="H46">
        <f t="shared" si="71"/>
        <v>-65</v>
      </c>
      <c r="I46">
        <f>60</f>
        <v>60</v>
      </c>
      <c r="L46">
        <f t="shared" si="72"/>
        <v>30</v>
      </c>
      <c r="M46">
        <f t="shared" si="73"/>
        <v>0</v>
      </c>
      <c r="N46">
        <f>10+10+10+10</f>
        <v>40</v>
      </c>
      <c r="O46">
        <f t="shared" ref="O46" si="79">SUM(I46:N46)</f>
        <v>130</v>
      </c>
    </row>
    <row r="47" spans="1:15" x14ac:dyDescent="0.25">
      <c r="A47" s="3" t="s">
        <v>194</v>
      </c>
      <c r="C47">
        <f>1+1+1</f>
        <v>3</v>
      </c>
      <c r="D47">
        <f>1</f>
        <v>1</v>
      </c>
      <c r="E47" s="2">
        <f t="shared" ref="E47" si="80">(B47)/(B47+C47+D47)</f>
        <v>0</v>
      </c>
      <c r="F47">
        <f>1+0+7+0</f>
        <v>8</v>
      </c>
      <c r="G47">
        <f>9+11+7+11</f>
        <v>38</v>
      </c>
      <c r="H47">
        <f t="shared" ref="H47" si="81">F47-G47</f>
        <v>-30</v>
      </c>
      <c r="L47">
        <f t="shared" ref="L47" si="82">B47*10</f>
        <v>0</v>
      </c>
      <c r="M47">
        <f t="shared" ref="M47" si="83">D47*5</f>
        <v>5</v>
      </c>
      <c r="N47">
        <f>10</f>
        <v>10</v>
      </c>
      <c r="O47">
        <f t="shared" ref="O47" si="84">SUM(I47:N47)</f>
        <v>15</v>
      </c>
    </row>
    <row r="48" spans="1:15" x14ac:dyDescent="0.25">
      <c r="A48" s="3" t="s">
        <v>75</v>
      </c>
      <c r="B48">
        <f>1+1+1+1</f>
        <v>4</v>
      </c>
      <c r="C48">
        <f>1+1+1+1+1+1+1+1+1+1+1+1+1</f>
        <v>13</v>
      </c>
      <c r="E48" s="2">
        <f t="shared" ref="E48:E49" si="85">(B48)/(B48+C48+D48)</f>
        <v>0.23529411764705882</v>
      </c>
      <c r="F48">
        <f>0+2+7+2+2+6+3+0+0+0+2+0+4+2+3+6+2</f>
        <v>41</v>
      </c>
      <c r="G48">
        <f>4+5+1+7+5+3+1+1+1+6+5+4+5+13+7+3+7</f>
        <v>78</v>
      </c>
      <c r="H48">
        <f t="shared" ref="H48:H49" si="86">F48-G48</f>
        <v>-37</v>
      </c>
      <c r="K48">
        <f>20</f>
        <v>20</v>
      </c>
      <c r="L48">
        <f t="shared" ref="L48:L49" si="87">B48*10</f>
        <v>40</v>
      </c>
      <c r="M48">
        <f t="shared" ref="M48:M49" si="88">D48*5</f>
        <v>0</v>
      </c>
      <c r="N48">
        <f>10+10+10+10</f>
        <v>40</v>
      </c>
      <c r="O48">
        <f t="shared" ref="O48:O49" si="89">SUM(I48:N48)</f>
        <v>100</v>
      </c>
    </row>
    <row r="49" spans="1:15" x14ac:dyDescent="0.25">
      <c r="A49" s="3" t="s">
        <v>97</v>
      </c>
      <c r="B49">
        <f>1+1+1+1+1</f>
        <v>5</v>
      </c>
      <c r="E49" s="2">
        <f t="shared" si="85"/>
        <v>1</v>
      </c>
      <c r="F49">
        <f>7+6+8+12+14</f>
        <v>47</v>
      </c>
      <c r="G49">
        <f>4+3+4+0+1</f>
        <v>12</v>
      </c>
      <c r="H49">
        <f t="shared" si="86"/>
        <v>35</v>
      </c>
      <c r="I49">
        <f>60</f>
        <v>60</v>
      </c>
      <c r="L49">
        <f t="shared" si="87"/>
        <v>50</v>
      </c>
      <c r="M49">
        <f t="shared" si="88"/>
        <v>0</v>
      </c>
      <c r="N49">
        <f>10</f>
        <v>10</v>
      </c>
      <c r="O49">
        <f t="shared" si="89"/>
        <v>120</v>
      </c>
    </row>
    <row r="50" spans="1:15" x14ac:dyDescent="0.25">
      <c r="A50" s="3" t="s">
        <v>77</v>
      </c>
      <c r="B50">
        <f>1+1+1+1+1+1+1+1+1+1+1+1+1+1+1+1+1+1+1</f>
        <v>19</v>
      </c>
      <c r="C50">
        <f>1+1+1+1+1+1+1+1+1+1+1+1</f>
        <v>12</v>
      </c>
      <c r="D50">
        <f>1</f>
        <v>1</v>
      </c>
      <c r="E50" s="2">
        <f t="shared" ref="E50:E52" si="90">(B50)/(B50+C50+D50)</f>
        <v>0.59375</v>
      </c>
      <c r="F50">
        <f>2+7+11+0+4+7+4+9+9+15+2+7+5+0+12+4+0+9+8+15+6+1+3+9+8+5+6+1+8+1+8+5</f>
        <v>191</v>
      </c>
      <c r="G50">
        <f>1+8+7+12+3+5+0+0+9+9+6+4+1+8+6+8+2+1+3+5+3+3+10+3+7+6+8+5+3+2+4+2</f>
        <v>154</v>
      </c>
      <c r="H50">
        <f t="shared" ref="H50:H52" si="91">F50-G50</f>
        <v>37</v>
      </c>
      <c r="I50">
        <f>60+60</f>
        <v>120</v>
      </c>
      <c r="K50">
        <f>20+20+20</f>
        <v>60</v>
      </c>
      <c r="L50">
        <f t="shared" ref="L50:L52" si="92">B50*10</f>
        <v>190</v>
      </c>
      <c r="M50">
        <f t="shared" ref="M50:M52" si="93">D50*5</f>
        <v>5</v>
      </c>
      <c r="N50">
        <f>10+10+10+10+10+10+10+10</f>
        <v>80</v>
      </c>
      <c r="O50">
        <f t="shared" ref="O50" si="94">SUM(I50:N50)</f>
        <v>455</v>
      </c>
    </row>
    <row r="51" spans="1:15" x14ac:dyDescent="0.25">
      <c r="A51" s="3" t="s">
        <v>164</v>
      </c>
      <c r="C51">
        <f>1+1+1+1+1+1</f>
        <v>6</v>
      </c>
      <c r="D51">
        <f>1</f>
        <v>1</v>
      </c>
      <c r="E51" s="2">
        <f t="shared" si="90"/>
        <v>0</v>
      </c>
      <c r="F51">
        <f>6+5+0+1+8+8+3</f>
        <v>31</v>
      </c>
      <c r="G51">
        <f>6+10+6+16+10+16+10</f>
        <v>74</v>
      </c>
      <c r="H51">
        <f t="shared" si="91"/>
        <v>-43</v>
      </c>
      <c r="K51">
        <f>20</f>
        <v>20</v>
      </c>
      <c r="L51">
        <f t="shared" si="92"/>
        <v>0</v>
      </c>
      <c r="M51">
        <f t="shared" si="93"/>
        <v>5</v>
      </c>
      <c r="N51">
        <f>10+10</f>
        <v>20</v>
      </c>
      <c r="O51">
        <f t="shared" ref="O51:O52" si="95">SUM(I51:N51)</f>
        <v>45</v>
      </c>
    </row>
    <row r="52" spans="1:15" x14ac:dyDescent="0.25">
      <c r="A52" s="3" t="s">
        <v>180</v>
      </c>
      <c r="B52">
        <f>1+1+1+1+1+1+1</f>
        <v>7</v>
      </c>
      <c r="C52">
        <f>1+1+1+1+1+1+1+1+1+1+1+1+1+1</f>
        <v>14</v>
      </c>
      <c r="E52" s="2">
        <f t="shared" si="90"/>
        <v>0.33333333333333331</v>
      </c>
      <c r="F52">
        <f>8+2+6+10+6+3+0+5+3+7+6+3+7+2+10+2+1+5+4+8+5</f>
        <v>103</v>
      </c>
      <c r="G52">
        <f>9+19+18+3+7+6+15+9+1+6+8+13+3+4+0+6+2+4+8+1+6</f>
        <v>148</v>
      </c>
      <c r="H52">
        <f t="shared" si="91"/>
        <v>-45</v>
      </c>
      <c r="K52">
        <f>20</f>
        <v>20</v>
      </c>
      <c r="L52">
        <f t="shared" si="92"/>
        <v>70</v>
      </c>
      <c r="M52">
        <f t="shared" si="93"/>
        <v>0</v>
      </c>
      <c r="N52">
        <f>10+10+10+10</f>
        <v>40</v>
      </c>
      <c r="O52">
        <f t="shared" si="95"/>
        <v>130</v>
      </c>
    </row>
    <row r="53" spans="1:15" x14ac:dyDescent="0.25">
      <c r="A53" s="3" t="s">
        <v>51</v>
      </c>
      <c r="B53">
        <f>1+1+1+1+1+1+1</f>
        <v>7</v>
      </c>
      <c r="C53">
        <f>1+1</f>
        <v>2</v>
      </c>
      <c r="E53" s="2">
        <f t="shared" si="10"/>
        <v>0.77777777777777779</v>
      </c>
      <c r="F53">
        <f>3+20+9+13+0+5+3+6+7</f>
        <v>66</v>
      </c>
      <c r="G53">
        <f>2+0+3+0+6+4+4+2+1</f>
        <v>22</v>
      </c>
      <c r="H53">
        <f t="shared" si="15"/>
        <v>44</v>
      </c>
      <c r="I53">
        <f>60</f>
        <v>60</v>
      </c>
      <c r="J53">
        <f>40</f>
        <v>40</v>
      </c>
      <c r="L53">
        <f t="shared" si="11"/>
        <v>70</v>
      </c>
      <c r="M53">
        <f t="shared" si="14"/>
        <v>0</v>
      </c>
      <c r="N53">
        <f>10+10</f>
        <v>20</v>
      </c>
      <c r="O53">
        <f t="shared" ref="O53" si="96">SUM(I53:N53)</f>
        <v>190</v>
      </c>
    </row>
    <row r="54" spans="1:15" x14ac:dyDescent="0.25">
      <c r="A54" s="3" t="s">
        <v>120</v>
      </c>
      <c r="B54">
        <f>1+1+1+1</f>
        <v>4</v>
      </c>
      <c r="C54">
        <f>1+1+1+1+1+1+1+1+1</f>
        <v>9</v>
      </c>
      <c r="E54" s="2">
        <f t="shared" ref="E54:E57" si="97">(B54)/(B54+C54+D54)</f>
        <v>0.30769230769230771</v>
      </c>
      <c r="F54">
        <f>4+2+7+8+0+3+7+0+12+3+11+4+5</f>
        <v>66</v>
      </c>
      <c r="G54">
        <f>10+10+1+2+1+8+5+10+13+7+2+7+7</f>
        <v>83</v>
      </c>
      <c r="H54">
        <f t="shared" ref="H54:H59" si="98">F54-G54</f>
        <v>-17</v>
      </c>
      <c r="K54">
        <f>20</f>
        <v>20</v>
      </c>
      <c r="L54">
        <f t="shared" ref="L54:L59" si="99">B54*10</f>
        <v>40</v>
      </c>
      <c r="M54">
        <f t="shared" ref="M54:M59" si="100">D54*5</f>
        <v>0</v>
      </c>
      <c r="N54">
        <f>10+10+10</f>
        <v>30</v>
      </c>
      <c r="O54">
        <f t="shared" ref="O54" si="101">SUM(I54:N54)</f>
        <v>90</v>
      </c>
    </row>
    <row r="55" spans="1:15" x14ac:dyDescent="0.25">
      <c r="A55" s="3" t="s">
        <v>228</v>
      </c>
      <c r="B55">
        <f>1+1</f>
        <v>2</v>
      </c>
      <c r="C55">
        <f>1+1+1</f>
        <v>3</v>
      </c>
      <c r="E55" s="2">
        <f t="shared" si="97"/>
        <v>0.4</v>
      </c>
      <c r="F55">
        <f>5+0+8+8+3</f>
        <v>24</v>
      </c>
      <c r="G55">
        <f>14+5+0+7+5</f>
        <v>31</v>
      </c>
      <c r="H55">
        <f t="shared" si="98"/>
        <v>-7</v>
      </c>
      <c r="J55">
        <f>40</f>
        <v>40</v>
      </c>
      <c r="L55">
        <f t="shared" si="99"/>
        <v>20</v>
      </c>
      <c r="M55">
        <f t="shared" si="100"/>
        <v>0</v>
      </c>
      <c r="N55">
        <f>10</f>
        <v>10</v>
      </c>
      <c r="O55">
        <f t="shared" ref="O55" si="102">SUM(I55:N55)</f>
        <v>70</v>
      </c>
    </row>
    <row r="56" spans="1:15" x14ac:dyDescent="0.25">
      <c r="A56" s="3" t="s">
        <v>170</v>
      </c>
      <c r="B56">
        <f>1+1+1+1</f>
        <v>4</v>
      </c>
      <c r="C56">
        <f>1+1+1+1+1+1+1+1+1+1</f>
        <v>10</v>
      </c>
      <c r="E56" s="2">
        <f t="shared" si="97"/>
        <v>0.2857142857142857</v>
      </c>
      <c r="F56">
        <f>0+1+5+8+1+4+4+8+1+10+1+3+5+13</f>
        <v>64</v>
      </c>
      <c r="G56">
        <f>8+2+10+2+9+6+11+0+6+7+10+5+6+2</f>
        <v>84</v>
      </c>
      <c r="H56">
        <f t="shared" si="98"/>
        <v>-20</v>
      </c>
      <c r="L56">
        <f t="shared" si="99"/>
        <v>40</v>
      </c>
      <c r="M56">
        <f t="shared" si="100"/>
        <v>0</v>
      </c>
      <c r="N56">
        <f>10+10+10</f>
        <v>30</v>
      </c>
      <c r="O56">
        <f t="shared" ref="O56:O57" si="103">SUM(I56:N56)</f>
        <v>70</v>
      </c>
    </row>
    <row r="57" spans="1:15" x14ac:dyDescent="0.25">
      <c r="A57" s="3" t="s">
        <v>213</v>
      </c>
      <c r="B57">
        <f>1+1</f>
        <v>2</v>
      </c>
      <c r="C57">
        <f>1+1</f>
        <v>2</v>
      </c>
      <c r="E57" s="2">
        <f t="shared" si="97"/>
        <v>0.5</v>
      </c>
      <c r="F57">
        <f>11+8+5+3</f>
        <v>27</v>
      </c>
      <c r="G57">
        <f>2+6+16+4</f>
        <v>28</v>
      </c>
      <c r="H57">
        <f t="shared" si="98"/>
        <v>-1</v>
      </c>
      <c r="K57">
        <f>20</f>
        <v>20</v>
      </c>
      <c r="L57">
        <f t="shared" si="99"/>
        <v>20</v>
      </c>
      <c r="M57">
        <f t="shared" si="100"/>
        <v>0</v>
      </c>
      <c r="N57">
        <f>10</f>
        <v>10</v>
      </c>
      <c r="O57">
        <f t="shared" si="103"/>
        <v>50</v>
      </c>
    </row>
    <row r="58" spans="1:15" x14ac:dyDescent="0.25">
      <c r="A58" s="3" t="s">
        <v>196</v>
      </c>
      <c r="B58">
        <f>1+1+1</f>
        <v>3</v>
      </c>
      <c r="C58">
        <f>1+1+1+1+1+1</f>
        <v>6</v>
      </c>
      <c r="E58" s="2">
        <f>(B58)/(B58+C58+D58)</f>
        <v>0.33333333333333331</v>
      </c>
      <c r="F58">
        <f>3+2+2+1+6+5+11+9+1</f>
        <v>40</v>
      </c>
      <c r="G58">
        <f>14+4+3+3+1+6+4+7+11</f>
        <v>53</v>
      </c>
      <c r="H58">
        <f t="shared" si="98"/>
        <v>-13</v>
      </c>
      <c r="J58">
        <f>40</f>
        <v>40</v>
      </c>
      <c r="L58">
        <f t="shared" si="99"/>
        <v>30</v>
      </c>
      <c r="M58">
        <f t="shared" si="100"/>
        <v>0</v>
      </c>
      <c r="N58">
        <f>10+10</f>
        <v>20</v>
      </c>
      <c r="O58">
        <f t="shared" ref="O58" si="104">SUM(I58:N58)</f>
        <v>90</v>
      </c>
    </row>
    <row r="59" spans="1:15" x14ac:dyDescent="0.25">
      <c r="A59" s="3" t="s">
        <v>165</v>
      </c>
      <c r="B59">
        <f>1+1+1+1+1+1+1+1+1+1+1+1</f>
        <v>12</v>
      </c>
      <c r="C59">
        <f>1+1+1+1+1+1+1+1</f>
        <v>8</v>
      </c>
      <c r="E59" s="2">
        <f>(B59)/(B59+C59+D59)</f>
        <v>0.6</v>
      </c>
      <c r="F59">
        <f>6+10+1+7+11+3+19+19+12+11+1+3+13+9+1+1+3+2+7+3</f>
        <v>142</v>
      </c>
      <c r="G59">
        <f>2+5+8+6+3+4+7+2+0+3+8+0+1+0+0+2+10+3+8+6</f>
        <v>78</v>
      </c>
      <c r="H59">
        <f t="shared" si="98"/>
        <v>64</v>
      </c>
      <c r="I59">
        <f>60</f>
        <v>60</v>
      </c>
      <c r="J59">
        <f>40</f>
        <v>40</v>
      </c>
      <c r="K59">
        <f>20+20+20</f>
        <v>60</v>
      </c>
      <c r="L59">
        <f t="shared" si="99"/>
        <v>120</v>
      </c>
      <c r="M59">
        <f t="shared" si="100"/>
        <v>0</v>
      </c>
      <c r="N59">
        <f>10+10+10+10+10</f>
        <v>50</v>
      </c>
      <c r="O59">
        <f t="shared" ref="O59" si="105">SUM(I59:N59)</f>
        <v>330</v>
      </c>
    </row>
    <row r="60" spans="1:15" x14ac:dyDescent="0.25">
      <c r="A60" s="3" t="s">
        <v>101</v>
      </c>
      <c r="B60">
        <f>1+1</f>
        <v>2</v>
      </c>
      <c r="C60">
        <f>1+1+1</f>
        <v>3</v>
      </c>
      <c r="E60" s="2">
        <f t="shared" si="10"/>
        <v>0.4</v>
      </c>
      <c r="F60">
        <f>1+4+7+17+12</f>
        <v>41</v>
      </c>
      <c r="G60">
        <f>7+6+11+2+4</f>
        <v>30</v>
      </c>
      <c r="H60">
        <f t="shared" si="15"/>
        <v>11</v>
      </c>
      <c r="I60">
        <f>60</f>
        <v>60</v>
      </c>
      <c r="L60">
        <f t="shared" si="11"/>
        <v>20</v>
      </c>
      <c r="M60">
        <f t="shared" si="14"/>
        <v>0</v>
      </c>
      <c r="N60">
        <f>10</f>
        <v>10</v>
      </c>
      <c r="O60">
        <f t="shared" ref="O60" si="106">SUM(I60:N60)</f>
        <v>90</v>
      </c>
    </row>
    <row r="61" spans="1:15" x14ac:dyDescent="0.25">
      <c r="A61" s="3" t="s">
        <v>163</v>
      </c>
      <c r="B61">
        <f>1+1+1</f>
        <v>3</v>
      </c>
      <c r="C61">
        <f>1+1+1+1+1+1+1+1</f>
        <v>8</v>
      </c>
      <c r="D61">
        <f>1</f>
        <v>1</v>
      </c>
      <c r="E61" s="2">
        <f t="shared" ref="E61" si="107">(B61)/(B61+C61+D61)</f>
        <v>0.25</v>
      </c>
      <c r="F61">
        <f>2+8+8+11+1+6+8+2+5+0+4+0</f>
        <v>55</v>
      </c>
      <c r="G61">
        <f>4+6+4+3+8+15+11+8+15+10+4+1</f>
        <v>89</v>
      </c>
      <c r="H61">
        <f t="shared" ref="H61" si="108">F61-G61</f>
        <v>-34</v>
      </c>
      <c r="I61">
        <f>60</f>
        <v>60</v>
      </c>
      <c r="K61">
        <f>20</f>
        <v>20</v>
      </c>
      <c r="L61">
        <f t="shared" ref="L61" si="109">B61*10</f>
        <v>30</v>
      </c>
      <c r="M61">
        <f t="shared" ref="M61" si="110">D61*5</f>
        <v>5</v>
      </c>
      <c r="N61">
        <f>10+10+10</f>
        <v>30</v>
      </c>
      <c r="O61">
        <f t="shared" ref="O61" si="111">SUM(I61:N61)</f>
        <v>145</v>
      </c>
    </row>
    <row r="62" spans="1:15" x14ac:dyDescent="0.25">
      <c r="A62" s="3" t="s">
        <v>133</v>
      </c>
      <c r="B62">
        <f>1+1+1+1+1+1+1+1</f>
        <v>8</v>
      </c>
      <c r="C62">
        <f>1+1+1+1+1+1+1+1</f>
        <v>8</v>
      </c>
      <c r="D62">
        <f>1</f>
        <v>1</v>
      </c>
      <c r="E62" s="2">
        <f t="shared" ref="E62:E65" si="112">(B62)/(B62+C62+D62)</f>
        <v>0.47058823529411764</v>
      </c>
      <c r="F62">
        <f>9+6+0+5+7+3+3+11+7+0+3+11+10+3+4+1+0</f>
        <v>83</v>
      </c>
      <c r="G62">
        <f>6+7+6+8+3+2+6+2+1+12+18+0+2+6+4+0+1</f>
        <v>84</v>
      </c>
      <c r="H62">
        <f t="shared" ref="H62:H65" si="113">F62-G62</f>
        <v>-1</v>
      </c>
      <c r="I62">
        <f>60</f>
        <v>60</v>
      </c>
      <c r="J62">
        <f>40+40</f>
        <v>80</v>
      </c>
      <c r="L62">
        <f t="shared" ref="L62:L65" si="114">B62*10</f>
        <v>80</v>
      </c>
      <c r="M62">
        <f t="shared" ref="M62:M65" si="115">D62*5</f>
        <v>5</v>
      </c>
      <c r="N62">
        <f>10+10+10+10</f>
        <v>40</v>
      </c>
      <c r="O62">
        <f t="shared" ref="O62" si="116">SUM(I62:N62)</f>
        <v>265</v>
      </c>
    </row>
    <row r="63" spans="1:15" x14ac:dyDescent="0.25">
      <c r="A63" s="3" t="s">
        <v>212</v>
      </c>
      <c r="B63">
        <f>1</f>
        <v>1</v>
      </c>
      <c r="C63">
        <f>1+1</f>
        <v>2</v>
      </c>
      <c r="D63">
        <f>1</f>
        <v>1</v>
      </c>
      <c r="E63" s="2">
        <f t="shared" si="112"/>
        <v>0.25</v>
      </c>
      <c r="F63">
        <f>2+4+4+0</f>
        <v>10</v>
      </c>
      <c r="G63">
        <f>2+5+0+8</f>
        <v>15</v>
      </c>
      <c r="H63">
        <f t="shared" si="113"/>
        <v>-5</v>
      </c>
      <c r="K63">
        <f>20</f>
        <v>20</v>
      </c>
      <c r="L63">
        <f t="shared" si="114"/>
        <v>10</v>
      </c>
      <c r="M63">
        <f t="shared" si="115"/>
        <v>5</v>
      </c>
      <c r="N63">
        <f>10</f>
        <v>10</v>
      </c>
      <c r="O63">
        <f t="shared" ref="O63" si="117">SUM(I63:N63)</f>
        <v>45</v>
      </c>
    </row>
    <row r="64" spans="1:15" x14ac:dyDescent="0.25">
      <c r="A64" s="3" t="s">
        <v>198</v>
      </c>
      <c r="B64">
        <f>1+1</f>
        <v>2</v>
      </c>
      <c r="C64">
        <f>1+1</f>
        <v>2</v>
      </c>
      <c r="E64" s="2">
        <f t="shared" si="112"/>
        <v>0.5</v>
      </c>
      <c r="F64">
        <f>15+6+6+4</f>
        <v>31</v>
      </c>
      <c r="G64">
        <f>7+1+7+6</f>
        <v>21</v>
      </c>
      <c r="H64">
        <f t="shared" si="113"/>
        <v>10</v>
      </c>
      <c r="K64">
        <f>20</f>
        <v>20</v>
      </c>
      <c r="L64">
        <f t="shared" si="114"/>
        <v>20</v>
      </c>
      <c r="M64">
        <f t="shared" si="115"/>
        <v>0</v>
      </c>
      <c r="N64">
        <f>10</f>
        <v>10</v>
      </c>
      <c r="O64">
        <f t="shared" ref="O64:O65" si="118">SUM(I64:N64)</f>
        <v>50</v>
      </c>
    </row>
    <row r="65" spans="1:15" x14ac:dyDescent="0.25">
      <c r="A65" s="3" t="s">
        <v>203</v>
      </c>
      <c r="B65">
        <f>1+1+1+1+1+1</f>
        <v>6</v>
      </c>
      <c r="C65">
        <f>1+1+1</f>
        <v>3</v>
      </c>
      <c r="E65" s="2">
        <f t="shared" si="112"/>
        <v>0.66666666666666663</v>
      </c>
      <c r="F65">
        <f>11+2+6+2+13+7+3+8+5</f>
        <v>57</v>
      </c>
      <c r="G65">
        <f>0+15+4+3+1+3+2+5+12</f>
        <v>45</v>
      </c>
      <c r="H65">
        <f t="shared" si="113"/>
        <v>12</v>
      </c>
      <c r="J65">
        <f>40</f>
        <v>40</v>
      </c>
      <c r="L65">
        <f t="shared" si="114"/>
        <v>60</v>
      </c>
      <c r="M65">
        <f t="shared" si="115"/>
        <v>0</v>
      </c>
      <c r="N65">
        <f>10</f>
        <v>10</v>
      </c>
      <c r="O65">
        <f t="shared" si="118"/>
        <v>110</v>
      </c>
    </row>
    <row r="66" spans="1:15" x14ac:dyDescent="0.25">
      <c r="A66" s="3" t="s">
        <v>71</v>
      </c>
      <c r="B66">
        <f>1+1+1+1+1</f>
        <v>5</v>
      </c>
      <c r="C66">
        <f>1+1+1+1+1</f>
        <v>5</v>
      </c>
      <c r="D66">
        <f>1</f>
        <v>1</v>
      </c>
      <c r="E66" s="2">
        <f t="shared" ref="E66:E70" si="119">(B66)/(B66+C66+D66)</f>
        <v>0.45454545454545453</v>
      </c>
      <c r="F66">
        <f>6+5+1+3+8+11+4+3+1+7+3</f>
        <v>52</v>
      </c>
      <c r="G66">
        <f>5+3+7+4+3+3+0+4+5+7+10</f>
        <v>51</v>
      </c>
      <c r="H66">
        <f t="shared" ref="H66:H70" si="120">F66-G66</f>
        <v>1</v>
      </c>
      <c r="J66">
        <f>40</f>
        <v>40</v>
      </c>
      <c r="K66">
        <f>20</f>
        <v>20</v>
      </c>
      <c r="L66">
        <f t="shared" ref="L66:L70" si="121">B66*10</f>
        <v>50</v>
      </c>
      <c r="M66">
        <f t="shared" ref="M66:M70" si="122">D66*5</f>
        <v>5</v>
      </c>
      <c r="N66">
        <f>10+10+10</f>
        <v>30</v>
      </c>
      <c r="O66">
        <f t="shared" ref="O66:O70" si="123">SUM(I66:N66)</f>
        <v>145</v>
      </c>
    </row>
    <row r="67" spans="1:15" x14ac:dyDescent="0.25">
      <c r="A67" s="3" t="s">
        <v>197</v>
      </c>
      <c r="B67">
        <f>1+1+1+1</f>
        <v>4</v>
      </c>
      <c r="C67">
        <f>1+1+1+1+1+1</f>
        <v>6</v>
      </c>
      <c r="E67" s="2">
        <f t="shared" si="119"/>
        <v>0.4</v>
      </c>
      <c r="F67">
        <f>0+8+1+13+5+1+2+8+6+4</f>
        <v>48</v>
      </c>
      <c r="G67">
        <f>3+13+6+7+3+0+20+16+5+11</f>
        <v>84</v>
      </c>
      <c r="H67">
        <f t="shared" si="120"/>
        <v>-36</v>
      </c>
      <c r="I67">
        <f>60</f>
        <v>60</v>
      </c>
      <c r="L67">
        <f t="shared" si="121"/>
        <v>40</v>
      </c>
      <c r="M67">
        <f t="shared" si="122"/>
        <v>0</v>
      </c>
      <c r="N67">
        <f>10+10</f>
        <v>20</v>
      </c>
      <c r="O67">
        <f t="shared" ref="O67" si="124">SUM(I67:N67)</f>
        <v>120</v>
      </c>
    </row>
    <row r="68" spans="1:15" x14ac:dyDescent="0.25">
      <c r="A68" s="3" t="s">
        <v>167</v>
      </c>
      <c r="B68">
        <f>1+1+1+1+1+1+1</f>
        <v>7</v>
      </c>
      <c r="C68">
        <f>1+1</f>
        <v>2</v>
      </c>
      <c r="E68" s="2">
        <f t="shared" si="119"/>
        <v>0.77777777777777779</v>
      </c>
      <c r="F68">
        <f>6+15+11+1+6+16+5+7+15</f>
        <v>82</v>
      </c>
      <c r="G68">
        <f>8+2+0+7+2+3+4+2+7</f>
        <v>35</v>
      </c>
      <c r="H68">
        <f t="shared" si="120"/>
        <v>47</v>
      </c>
      <c r="I68">
        <f>60</f>
        <v>60</v>
      </c>
      <c r="J68">
        <f>40</f>
        <v>40</v>
      </c>
      <c r="L68">
        <f t="shared" si="121"/>
        <v>70</v>
      </c>
      <c r="M68">
        <f t="shared" si="122"/>
        <v>0</v>
      </c>
      <c r="N68">
        <f>10+10</f>
        <v>20</v>
      </c>
      <c r="O68">
        <f t="shared" ref="O68" si="125">SUM(I68:N68)</f>
        <v>190</v>
      </c>
    </row>
    <row r="69" spans="1:15" x14ac:dyDescent="0.25">
      <c r="A69" s="3" t="s">
        <v>124</v>
      </c>
      <c r="B69">
        <f>1+1+1</f>
        <v>3</v>
      </c>
      <c r="C69">
        <f>1+1+1</f>
        <v>3</v>
      </c>
      <c r="E69" s="2">
        <f t="shared" si="119"/>
        <v>0.5</v>
      </c>
      <c r="F69">
        <f>0+7+2+1+1+0</f>
        <v>11</v>
      </c>
      <c r="G69">
        <f>9+2+8+0+0+1</f>
        <v>20</v>
      </c>
      <c r="H69">
        <f t="shared" si="120"/>
        <v>-9</v>
      </c>
      <c r="J69">
        <f>40</f>
        <v>40</v>
      </c>
      <c r="L69">
        <f t="shared" si="121"/>
        <v>30</v>
      </c>
      <c r="M69">
        <f t="shared" si="122"/>
        <v>0</v>
      </c>
      <c r="N69">
        <f>10</f>
        <v>10</v>
      </c>
      <c r="O69">
        <f t="shared" si="123"/>
        <v>80</v>
      </c>
    </row>
    <row r="70" spans="1:15" x14ac:dyDescent="0.25">
      <c r="A70" s="3" t="s">
        <v>91</v>
      </c>
      <c r="B70">
        <f>1+1+1+1+1+1+1+1+1+1+1+1+1+1+1+1+1+1</f>
        <v>18</v>
      </c>
      <c r="C70">
        <f>1+1+1+1+1+1+1+1+1+1+1+1+1+1</f>
        <v>14</v>
      </c>
      <c r="E70" s="2">
        <f t="shared" si="119"/>
        <v>0.5625</v>
      </c>
      <c r="F70">
        <f>2+0+0+4+6+6+0+12+7+10+7+3+1+7+7+15+10+2+6+6+0+1+7+16+4+1+6+9+7+2+7+6</f>
        <v>177</v>
      </c>
      <c r="G70">
        <f>14+11+12+11+9+4+9+1+6+3+13+15+1+6+2+4+1+2+4+1+8+3+5+3+4+2+8+10+5+6+5</f>
        <v>188</v>
      </c>
      <c r="H70">
        <f t="shared" si="120"/>
        <v>-11</v>
      </c>
      <c r="I70">
        <f>60</f>
        <v>60</v>
      </c>
      <c r="J70">
        <f>40+40+40</f>
        <v>120</v>
      </c>
      <c r="K70">
        <f>20+20</f>
        <v>40</v>
      </c>
      <c r="L70">
        <f t="shared" si="121"/>
        <v>180</v>
      </c>
      <c r="M70">
        <f t="shared" si="122"/>
        <v>0</v>
      </c>
      <c r="N70">
        <f>10+10+10+10+10+10+10</f>
        <v>70</v>
      </c>
      <c r="O70">
        <f t="shared" si="123"/>
        <v>470</v>
      </c>
    </row>
    <row r="71" spans="1:15" x14ac:dyDescent="0.25">
      <c r="E71" s="2" t="e">
        <f t="shared" si="10"/>
        <v>#DIV/0!</v>
      </c>
      <c r="H71">
        <f t="shared" si="15"/>
        <v>0</v>
      </c>
      <c r="L71">
        <f t="shared" si="11"/>
        <v>0</v>
      </c>
      <c r="M71">
        <f t="shared" si="14"/>
        <v>0</v>
      </c>
      <c r="O71">
        <f t="shared" si="12"/>
        <v>0</v>
      </c>
    </row>
    <row r="72" spans="1:15" x14ac:dyDescent="0.25">
      <c r="E72" s="2" t="e">
        <f t="shared" si="10"/>
        <v>#DIV/0!</v>
      </c>
      <c r="H72">
        <f t="shared" si="15"/>
        <v>0</v>
      </c>
      <c r="L72">
        <f t="shared" si="11"/>
        <v>0</v>
      </c>
      <c r="M72">
        <f t="shared" si="14"/>
        <v>0</v>
      </c>
      <c r="O72">
        <f t="shared" ref="O72" si="126">SUM(I72:N72)</f>
        <v>0</v>
      </c>
    </row>
    <row r="73" spans="1:15" x14ac:dyDescent="0.25">
      <c r="E73" s="2" t="e">
        <f t="shared" si="10"/>
        <v>#DIV/0!</v>
      </c>
      <c r="H73">
        <f t="shared" si="15"/>
        <v>0</v>
      </c>
      <c r="L73">
        <f t="shared" si="11"/>
        <v>0</v>
      </c>
      <c r="M73">
        <f t="shared" si="14"/>
        <v>0</v>
      </c>
      <c r="O73">
        <f t="shared" si="12"/>
        <v>0</v>
      </c>
    </row>
    <row r="74" spans="1:15" x14ac:dyDescent="0.25">
      <c r="E74" s="2" t="e">
        <f t="shared" si="10"/>
        <v>#DIV/0!</v>
      </c>
      <c r="H74">
        <f t="shared" si="15"/>
        <v>0</v>
      </c>
      <c r="L74">
        <f t="shared" si="11"/>
        <v>0</v>
      </c>
      <c r="M74">
        <v>0</v>
      </c>
      <c r="O74">
        <f t="shared" si="12"/>
        <v>0</v>
      </c>
    </row>
    <row r="75" spans="1:15" x14ac:dyDescent="0.25">
      <c r="E75" s="2" t="e">
        <f t="shared" si="10"/>
        <v>#DIV/0!</v>
      </c>
      <c r="H75">
        <f t="shared" si="15"/>
        <v>0</v>
      </c>
      <c r="L75">
        <f t="shared" si="11"/>
        <v>0</v>
      </c>
      <c r="M75">
        <f t="shared" ref="M75:M133" si="127">D75*5</f>
        <v>0</v>
      </c>
      <c r="O75">
        <f t="shared" si="12"/>
        <v>0</v>
      </c>
    </row>
    <row r="76" spans="1:15" x14ac:dyDescent="0.25">
      <c r="E76" s="2" t="e">
        <f t="shared" si="10"/>
        <v>#DIV/0!</v>
      </c>
      <c r="H76">
        <f t="shared" si="15"/>
        <v>0</v>
      </c>
      <c r="L76">
        <f t="shared" si="11"/>
        <v>0</v>
      </c>
      <c r="M76">
        <f t="shared" si="127"/>
        <v>0</v>
      </c>
      <c r="O76">
        <f t="shared" si="12"/>
        <v>0</v>
      </c>
    </row>
    <row r="77" spans="1:15" x14ac:dyDescent="0.25">
      <c r="E77" s="2" t="e">
        <f t="shared" si="10"/>
        <v>#DIV/0!</v>
      </c>
      <c r="H77">
        <f t="shared" si="15"/>
        <v>0</v>
      </c>
      <c r="L77">
        <f t="shared" si="11"/>
        <v>0</v>
      </c>
      <c r="M77">
        <f t="shared" si="127"/>
        <v>0</v>
      </c>
      <c r="O77">
        <f t="shared" si="12"/>
        <v>0</v>
      </c>
    </row>
    <row r="78" spans="1:15" x14ac:dyDescent="0.25">
      <c r="E78" s="2" t="e">
        <f t="shared" si="10"/>
        <v>#DIV/0!</v>
      </c>
      <c r="H78">
        <f t="shared" si="15"/>
        <v>0</v>
      </c>
      <c r="L78">
        <f t="shared" si="11"/>
        <v>0</v>
      </c>
      <c r="M78">
        <f t="shared" si="127"/>
        <v>0</v>
      </c>
      <c r="O78">
        <f t="shared" si="12"/>
        <v>0</v>
      </c>
    </row>
    <row r="79" spans="1:15" x14ac:dyDescent="0.25">
      <c r="E79" s="2" t="e">
        <f t="shared" si="10"/>
        <v>#DIV/0!</v>
      </c>
      <c r="H79">
        <f t="shared" si="15"/>
        <v>0</v>
      </c>
      <c r="L79">
        <f t="shared" si="11"/>
        <v>0</v>
      </c>
      <c r="M79">
        <f t="shared" si="127"/>
        <v>0</v>
      </c>
      <c r="O79">
        <f t="shared" si="12"/>
        <v>0</v>
      </c>
    </row>
    <row r="80" spans="1:15" x14ac:dyDescent="0.25">
      <c r="E80" s="2" t="e">
        <f t="shared" si="10"/>
        <v>#DIV/0!</v>
      </c>
      <c r="H80">
        <f t="shared" si="15"/>
        <v>0</v>
      </c>
      <c r="L80">
        <f t="shared" si="11"/>
        <v>0</v>
      </c>
      <c r="M80">
        <f t="shared" si="127"/>
        <v>0</v>
      </c>
      <c r="O80">
        <f t="shared" si="12"/>
        <v>0</v>
      </c>
    </row>
    <row r="81" spans="1:16" x14ac:dyDescent="0.25">
      <c r="E81" s="2" t="e">
        <f t="shared" si="10"/>
        <v>#DIV/0!</v>
      </c>
      <c r="H81">
        <f t="shared" si="15"/>
        <v>0</v>
      </c>
      <c r="L81">
        <f t="shared" si="11"/>
        <v>0</v>
      </c>
      <c r="M81">
        <f t="shared" si="127"/>
        <v>0</v>
      </c>
      <c r="O81">
        <f t="shared" si="12"/>
        <v>0</v>
      </c>
    </row>
    <row r="82" spans="1:16" x14ac:dyDescent="0.25">
      <c r="E82" s="2" t="e">
        <f t="shared" si="10"/>
        <v>#DIV/0!</v>
      </c>
      <c r="H82">
        <f t="shared" si="15"/>
        <v>0</v>
      </c>
      <c r="L82">
        <f t="shared" si="11"/>
        <v>0</v>
      </c>
      <c r="M82">
        <f t="shared" si="127"/>
        <v>0</v>
      </c>
      <c r="O82">
        <f t="shared" si="12"/>
        <v>0</v>
      </c>
    </row>
    <row r="83" spans="1:16" x14ac:dyDescent="0.25">
      <c r="E83" s="2" t="e">
        <f t="shared" si="10"/>
        <v>#DIV/0!</v>
      </c>
      <c r="H83">
        <f t="shared" si="15"/>
        <v>0</v>
      </c>
      <c r="L83">
        <f t="shared" si="11"/>
        <v>0</v>
      </c>
      <c r="M83">
        <f t="shared" si="127"/>
        <v>0</v>
      </c>
      <c r="O83">
        <f t="shared" si="12"/>
        <v>0</v>
      </c>
    </row>
    <row r="84" spans="1:16" x14ac:dyDescent="0.25">
      <c r="E84" s="2" t="e">
        <f t="shared" si="10"/>
        <v>#DIV/0!</v>
      </c>
      <c r="H84">
        <f t="shared" si="15"/>
        <v>0</v>
      </c>
      <c r="L84">
        <f t="shared" si="11"/>
        <v>0</v>
      </c>
      <c r="M84">
        <f t="shared" si="127"/>
        <v>0</v>
      </c>
      <c r="O84">
        <f t="shared" ref="O84" si="128">SUM(I84:N84)</f>
        <v>0</v>
      </c>
    </row>
    <row r="85" spans="1:16" x14ac:dyDescent="0.25">
      <c r="E85" s="2" t="e">
        <f t="shared" si="10"/>
        <v>#DIV/0!</v>
      </c>
      <c r="H85">
        <f t="shared" si="15"/>
        <v>0</v>
      </c>
      <c r="L85">
        <f t="shared" si="11"/>
        <v>0</v>
      </c>
      <c r="M85">
        <f t="shared" si="127"/>
        <v>0</v>
      </c>
      <c r="O85">
        <f t="shared" si="12"/>
        <v>0</v>
      </c>
    </row>
    <row r="86" spans="1:16" x14ac:dyDescent="0.25">
      <c r="E86" s="2" t="e">
        <f t="shared" si="10"/>
        <v>#DIV/0!</v>
      </c>
      <c r="H86">
        <f t="shared" si="15"/>
        <v>0</v>
      </c>
      <c r="L86">
        <f t="shared" si="11"/>
        <v>0</v>
      </c>
      <c r="M86">
        <f t="shared" si="127"/>
        <v>0</v>
      </c>
      <c r="O86">
        <f t="shared" si="12"/>
        <v>0</v>
      </c>
    </row>
    <row r="87" spans="1:16" x14ac:dyDescent="0.25">
      <c r="E87" s="2" t="e">
        <f t="shared" si="10"/>
        <v>#DIV/0!</v>
      </c>
      <c r="H87">
        <f t="shared" si="15"/>
        <v>0</v>
      </c>
      <c r="L87">
        <f t="shared" si="11"/>
        <v>0</v>
      </c>
      <c r="M87">
        <f t="shared" si="127"/>
        <v>0</v>
      </c>
      <c r="O87">
        <f t="shared" si="12"/>
        <v>0</v>
      </c>
    </row>
    <row r="88" spans="1:16" x14ac:dyDescent="0.25">
      <c r="E88" s="2" t="e">
        <f t="shared" si="10"/>
        <v>#DIV/0!</v>
      </c>
      <c r="H88">
        <f t="shared" si="15"/>
        <v>0</v>
      </c>
      <c r="L88">
        <f t="shared" si="11"/>
        <v>0</v>
      </c>
      <c r="M88">
        <f t="shared" si="127"/>
        <v>0</v>
      </c>
      <c r="O88">
        <f t="shared" si="12"/>
        <v>0</v>
      </c>
    </row>
    <row r="89" spans="1:16" x14ac:dyDescent="0.25">
      <c r="E89" s="2" t="e">
        <f t="shared" si="10"/>
        <v>#DIV/0!</v>
      </c>
      <c r="H89">
        <f t="shared" si="15"/>
        <v>0</v>
      </c>
      <c r="L89">
        <f t="shared" si="11"/>
        <v>0</v>
      </c>
      <c r="M89">
        <f t="shared" si="127"/>
        <v>0</v>
      </c>
      <c r="O89">
        <f t="shared" si="12"/>
        <v>0</v>
      </c>
    </row>
    <row r="90" spans="1:16" x14ac:dyDescent="0.25">
      <c r="E90" s="2" t="e">
        <f t="shared" si="10"/>
        <v>#DIV/0!</v>
      </c>
      <c r="H90">
        <f t="shared" si="15"/>
        <v>0</v>
      </c>
      <c r="L90">
        <f t="shared" si="11"/>
        <v>0</v>
      </c>
      <c r="M90">
        <f t="shared" si="127"/>
        <v>0</v>
      </c>
      <c r="O90">
        <f t="shared" si="12"/>
        <v>0</v>
      </c>
    </row>
    <row r="91" spans="1:16" x14ac:dyDescent="0.25">
      <c r="E91" s="2" t="e">
        <f t="shared" si="10"/>
        <v>#DIV/0!</v>
      </c>
      <c r="H91">
        <f t="shared" si="15"/>
        <v>0</v>
      </c>
      <c r="L91">
        <f t="shared" si="11"/>
        <v>0</v>
      </c>
      <c r="M91">
        <f t="shared" si="127"/>
        <v>0</v>
      </c>
      <c r="O91">
        <f t="shared" ref="O91" si="129">SUM(I91:N91)</f>
        <v>0</v>
      </c>
    </row>
    <row r="92" spans="1:16" x14ac:dyDescent="0.25">
      <c r="E92" s="2" t="e">
        <f t="shared" si="10"/>
        <v>#DIV/0!</v>
      </c>
      <c r="H92">
        <f t="shared" si="15"/>
        <v>0</v>
      </c>
      <c r="L92">
        <f t="shared" si="11"/>
        <v>0</v>
      </c>
      <c r="M92">
        <f t="shared" si="127"/>
        <v>0</v>
      </c>
      <c r="O92">
        <f t="shared" si="12"/>
        <v>0</v>
      </c>
    </row>
    <row r="93" spans="1:16" x14ac:dyDescent="0.25">
      <c r="E93" s="2" t="e">
        <f t="shared" si="10"/>
        <v>#DIV/0!</v>
      </c>
      <c r="H93">
        <f t="shared" si="15"/>
        <v>0</v>
      </c>
      <c r="L93">
        <f t="shared" si="11"/>
        <v>0</v>
      </c>
      <c r="M93">
        <f t="shared" si="127"/>
        <v>0</v>
      </c>
      <c r="O93">
        <f t="shared" si="12"/>
        <v>0</v>
      </c>
    </row>
    <row r="94" spans="1:16" x14ac:dyDescent="0.25">
      <c r="E94" s="2" t="e">
        <f t="shared" si="10"/>
        <v>#DIV/0!</v>
      </c>
      <c r="H94">
        <f t="shared" si="15"/>
        <v>0</v>
      </c>
      <c r="L94">
        <f t="shared" si="11"/>
        <v>0</v>
      </c>
      <c r="M94">
        <f t="shared" si="127"/>
        <v>0</v>
      </c>
      <c r="O94">
        <f t="shared" si="12"/>
        <v>0</v>
      </c>
    </row>
    <row r="95" spans="1:16" x14ac:dyDescent="0.25">
      <c r="A95" s="6"/>
      <c r="B95" s="4"/>
      <c r="C95" s="4"/>
      <c r="D95" s="4"/>
      <c r="E95" s="5" t="e">
        <f t="shared" si="10"/>
        <v>#DIV/0!</v>
      </c>
      <c r="F95" s="4"/>
      <c r="G95" s="4"/>
      <c r="H95" s="4">
        <f t="shared" si="15"/>
        <v>0</v>
      </c>
      <c r="I95" s="4"/>
      <c r="J95" s="4"/>
      <c r="K95" s="4"/>
      <c r="L95" s="4">
        <f t="shared" si="11"/>
        <v>0</v>
      </c>
      <c r="M95" s="4">
        <f t="shared" si="127"/>
        <v>0</v>
      </c>
      <c r="N95" s="4"/>
      <c r="O95" s="4">
        <f t="shared" si="12"/>
        <v>0</v>
      </c>
      <c r="P95" s="4"/>
    </row>
    <row r="96" spans="1:16" x14ac:dyDescent="0.25">
      <c r="E96" s="2" t="e">
        <f t="shared" si="10"/>
        <v>#DIV/0!</v>
      </c>
      <c r="H96">
        <f t="shared" si="15"/>
        <v>0</v>
      </c>
      <c r="L96">
        <f t="shared" si="11"/>
        <v>0</v>
      </c>
      <c r="M96">
        <f t="shared" si="127"/>
        <v>0</v>
      </c>
      <c r="O96">
        <f t="shared" si="12"/>
        <v>0</v>
      </c>
      <c r="P96" s="4"/>
    </row>
    <row r="97" spans="1:16" x14ac:dyDescent="0.25">
      <c r="E97" s="2" t="e">
        <f t="shared" si="10"/>
        <v>#DIV/0!</v>
      </c>
      <c r="H97">
        <f t="shared" si="15"/>
        <v>0</v>
      </c>
      <c r="L97">
        <f t="shared" si="11"/>
        <v>0</v>
      </c>
      <c r="M97">
        <f t="shared" si="127"/>
        <v>0</v>
      </c>
      <c r="O97">
        <f t="shared" si="12"/>
        <v>0</v>
      </c>
    </row>
    <row r="98" spans="1:16" x14ac:dyDescent="0.25">
      <c r="E98" s="2" t="e">
        <f t="shared" si="10"/>
        <v>#DIV/0!</v>
      </c>
      <c r="H98">
        <f t="shared" si="15"/>
        <v>0</v>
      </c>
      <c r="L98">
        <f t="shared" si="11"/>
        <v>0</v>
      </c>
      <c r="M98">
        <f t="shared" si="127"/>
        <v>0</v>
      </c>
      <c r="O98">
        <f t="shared" si="12"/>
        <v>0</v>
      </c>
    </row>
    <row r="99" spans="1:16" x14ac:dyDescent="0.25">
      <c r="A99" s="6"/>
      <c r="B99" s="4"/>
      <c r="C99" s="4"/>
      <c r="D99" s="4"/>
      <c r="E99" s="5" t="e">
        <f t="shared" si="10"/>
        <v>#DIV/0!</v>
      </c>
      <c r="F99" s="4"/>
      <c r="G99" s="4"/>
      <c r="H99" s="4">
        <f t="shared" si="15"/>
        <v>0</v>
      </c>
      <c r="I99" s="4"/>
      <c r="J99" s="4"/>
      <c r="K99" s="4"/>
      <c r="L99" s="4">
        <f t="shared" si="11"/>
        <v>0</v>
      </c>
      <c r="M99" s="4">
        <f t="shared" si="127"/>
        <v>0</v>
      </c>
      <c r="N99" s="4"/>
      <c r="O99" s="4">
        <f t="shared" si="12"/>
        <v>0</v>
      </c>
      <c r="P99" s="4"/>
    </row>
    <row r="100" spans="1:16" x14ac:dyDescent="0.25">
      <c r="A100" s="6"/>
      <c r="B100" s="4"/>
      <c r="C100" s="4"/>
      <c r="D100" s="4"/>
      <c r="E100" s="5" t="e">
        <f t="shared" si="10"/>
        <v>#DIV/0!</v>
      </c>
      <c r="F100" s="4"/>
      <c r="G100" s="4"/>
      <c r="H100" s="4">
        <f t="shared" si="15"/>
        <v>0</v>
      </c>
      <c r="I100" s="4"/>
      <c r="J100" s="4"/>
      <c r="K100" s="4"/>
      <c r="L100" s="4">
        <f t="shared" si="11"/>
        <v>0</v>
      </c>
      <c r="M100" s="4">
        <f t="shared" si="127"/>
        <v>0</v>
      </c>
      <c r="N100" s="4"/>
      <c r="O100" s="4">
        <f t="shared" si="12"/>
        <v>0</v>
      </c>
      <c r="P100" s="4"/>
    </row>
    <row r="101" spans="1:16" x14ac:dyDescent="0.25">
      <c r="A101" s="6"/>
      <c r="B101" s="4"/>
      <c r="C101" s="4"/>
      <c r="D101" s="4"/>
      <c r="E101" s="5" t="e">
        <f t="shared" si="10"/>
        <v>#DIV/0!</v>
      </c>
      <c r="F101" s="4"/>
      <c r="G101" s="4"/>
      <c r="H101" s="4">
        <f t="shared" si="15"/>
        <v>0</v>
      </c>
      <c r="I101" s="4"/>
      <c r="J101" s="4"/>
      <c r="K101" s="4"/>
      <c r="L101" s="4">
        <f t="shared" si="11"/>
        <v>0</v>
      </c>
      <c r="M101" s="4">
        <f t="shared" si="127"/>
        <v>0</v>
      </c>
      <c r="N101" s="4"/>
      <c r="O101" s="4">
        <f t="shared" si="12"/>
        <v>0</v>
      </c>
      <c r="P101" s="4"/>
    </row>
    <row r="102" spans="1:16" x14ac:dyDescent="0.25">
      <c r="A102" s="6"/>
      <c r="B102" s="4"/>
      <c r="C102" s="4"/>
      <c r="D102" s="4"/>
      <c r="E102" s="5" t="e">
        <f t="shared" si="10"/>
        <v>#DIV/0!</v>
      </c>
      <c r="F102" s="4"/>
      <c r="G102" s="4"/>
      <c r="H102" s="4">
        <f t="shared" si="15"/>
        <v>0</v>
      </c>
      <c r="I102" s="4"/>
      <c r="J102" s="4"/>
      <c r="K102" s="4"/>
      <c r="L102" s="4">
        <f t="shared" si="11"/>
        <v>0</v>
      </c>
      <c r="M102" s="4">
        <f t="shared" si="127"/>
        <v>0</v>
      </c>
      <c r="N102" s="4"/>
      <c r="O102" s="4">
        <f t="shared" si="12"/>
        <v>0</v>
      </c>
      <c r="P102" s="4"/>
    </row>
    <row r="103" spans="1:16" x14ac:dyDescent="0.25">
      <c r="A103" s="6"/>
      <c r="B103" s="4"/>
      <c r="C103" s="4"/>
      <c r="D103" s="4"/>
      <c r="E103" s="5" t="e">
        <f t="shared" si="10"/>
        <v>#DIV/0!</v>
      </c>
      <c r="F103" s="4"/>
      <c r="G103" s="4"/>
      <c r="H103" s="4">
        <f t="shared" si="15"/>
        <v>0</v>
      </c>
      <c r="I103" s="4"/>
      <c r="J103" s="4"/>
      <c r="K103" s="4"/>
      <c r="L103" s="4">
        <f t="shared" si="11"/>
        <v>0</v>
      </c>
      <c r="M103" s="4">
        <f t="shared" si="127"/>
        <v>0</v>
      </c>
      <c r="N103" s="4"/>
      <c r="O103" s="4">
        <f t="shared" si="12"/>
        <v>0</v>
      </c>
      <c r="P103" s="4"/>
    </row>
    <row r="104" spans="1:16" x14ac:dyDescent="0.25">
      <c r="A104" s="6"/>
      <c r="B104" s="4"/>
      <c r="C104" s="4"/>
      <c r="D104" s="4"/>
      <c r="E104" s="5" t="e">
        <f t="shared" si="10"/>
        <v>#DIV/0!</v>
      </c>
      <c r="F104" s="4"/>
      <c r="G104" s="4"/>
      <c r="H104" s="4">
        <f t="shared" si="15"/>
        <v>0</v>
      </c>
      <c r="I104" s="4"/>
      <c r="J104" s="4"/>
      <c r="K104" s="4"/>
      <c r="L104" s="4">
        <f t="shared" si="11"/>
        <v>0</v>
      </c>
      <c r="M104" s="4">
        <f t="shared" si="127"/>
        <v>0</v>
      </c>
      <c r="N104" s="4"/>
      <c r="O104" s="4">
        <f t="shared" ref="O104:O133" si="130">SUM(I104:N104)</f>
        <v>0</v>
      </c>
    </row>
    <row r="105" spans="1:16" x14ac:dyDescent="0.25">
      <c r="E105" s="2" t="e">
        <f t="shared" si="10"/>
        <v>#DIV/0!</v>
      </c>
      <c r="H105">
        <f t="shared" si="15"/>
        <v>0</v>
      </c>
      <c r="L105">
        <f t="shared" si="11"/>
        <v>0</v>
      </c>
      <c r="M105">
        <f t="shared" si="127"/>
        <v>0</v>
      </c>
      <c r="O105">
        <f t="shared" si="130"/>
        <v>0</v>
      </c>
    </row>
    <row r="106" spans="1:16" x14ac:dyDescent="0.25">
      <c r="E106" s="2" t="e">
        <f t="shared" si="10"/>
        <v>#DIV/0!</v>
      </c>
      <c r="H106">
        <f t="shared" si="15"/>
        <v>0</v>
      </c>
      <c r="L106">
        <f t="shared" si="11"/>
        <v>0</v>
      </c>
      <c r="M106">
        <f t="shared" si="127"/>
        <v>0</v>
      </c>
      <c r="O106">
        <f t="shared" si="130"/>
        <v>0</v>
      </c>
    </row>
    <row r="107" spans="1:16" x14ac:dyDescent="0.25">
      <c r="E107" s="2" t="e">
        <f t="shared" si="10"/>
        <v>#DIV/0!</v>
      </c>
      <c r="H107">
        <f t="shared" si="15"/>
        <v>0</v>
      </c>
      <c r="L107">
        <f t="shared" si="11"/>
        <v>0</v>
      </c>
      <c r="M107">
        <f t="shared" si="127"/>
        <v>0</v>
      </c>
      <c r="O107">
        <f t="shared" si="130"/>
        <v>0</v>
      </c>
    </row>
    <row r="108" spans="1:16" x14ac:dyDescent="0.25">
      <c r="E108" s="2" t="e">
        <f t="shared" si="10"/>
        <v>#DIV/0!</v>
      </c>
      <c r="H108">
        <f t="shared" si="15"/>
        <v>0</v>
      </c>
      <c r="L108">
        <f t="shared" si="11"/>
        <v>0</v>
      </c>
      <c r="M108">
        <f t="shared" si="127"/>
        <v>0</v>
      </c>
      <c r="O108">
        <f t="shared" si="130"/>
        <v>0</v>
      </c>
    </row>
    <row r="109" spans="1:16" x14ac:dyDescent="0.25">
      <c r="E109" s="2" t="e">
        <f t="shared" si="10"/>
        <v>#DIV/0!</v>
      </c>
      <c r="H109">
        <f t="shared" si="15"/>
        <v>0</v>
      </c>
      <c r="L109">
        <f t="shared" si="11"/>
        <v>0</v>
      </c>
      <c r="M109">
        <f t="shared" si="127"/>
        <v>0</v>
      </c>
      <c r="O109">
        <f t="shared" si="130"/>
        <v>0</v>
      </c>
    </row>
    <row r="110" spans="1:16" x14ac:dyDescent="0.25">
      <c r="E110" s="2" t="e">
        <f t="shared" si="10"/>
        <v>#DIV/0!</v>
      </c>
      <c r="H110">
        <f t="shared" si="15"/>
        <v>0</v>
      </c>
      <c r="L110">
        <f t="shared" si="11"/>
        <v>0</v>
      </c>
      <c r="M110">
        <f t="shared" si="127"/>
        <v>0</v>
      </c>
      <c r="O110">
        <f t="shared" si="130"/>
        <v>0</v>
      </c>
    </row>
    <row r="111" spans="1:16" x14ac:dyDescent="0.25">
      <c r="E111" s="2" t="e">
        <f t="shared" si="10"/>
        <v>#DIV/0!</v>
      </c>
      <c r="H111">
        <f t="shared" si="15"/>
        <v>0</v>
      </c>
      <c r="M111">
        <f t="shared" si="127"/>
        <v>0</v>
      </c>
      <c r="O111">
        <f t="shared" si="130"/>
        <v>0</v>
      </c>
    </row>
    <row r="112" spans="1:16" x14ac:dyDescent="0.25">
      <c r="E112" s="2" t="e">
        <f t="shared" si="10"/>
        <v>#DIV/0!</v>
      </c>
      <c r="H112">
        <f t="shared" si="15"/>
        <v>0</v>
      </c>
      <c r="M112">
        <f t="shared" si="127"/>
        <v>0</v>
      </c>
      <c r="O112">
        <f t="shared" si="130"/>
        <v>0</v>
      </c>
    </row>
    <row r="113" spans="5:15" x14ac:dyDescent="0.25">
      <c r="E113" s="2" t="e">
        <f t="shared" si="10"/>
        <v>#DIV/0!</v>
      </c>
      <c r="H113">
        <f t="shared" si="15"/>
        <v>0</v>
      </c>
      <c r="M113">
        <f t="shared" si="127"/>
        <v>0</v>
      </c>
      <c r="O113">
        <f t="shared" si="130"/>
        <v>0</v>
      </c>
    </row>
    <row r="114" spans="5:15" x14ac:dyDescent="0.25">
      <c r="E114" s="2" t="e">
        <f t="shared" si="10"/>
        <v>#DIV/0!</v>
      </c>
      <c r="H114">
        <f t="shared" si="15"/>
        <v>0</v>
      </c>
      <c r="M114">
        <f t="shared" si="127"/>
        <v>0</v>
      </c>
      <c r="O114">
        <f t="shared" si="130"/>
        <v>0</v>
      </c>
    </row>
    <row r="115" spans="5:15" x14ac:dyDescent="0.25">
      <c r="E115" s="2" t="e">
        <f t="shared" si="10"/>
        <v>#DIV/0!</v>
      </c>
      <c r="H115">
        <f t="shared" si="15"/>
        <v>0</v>
      </c>
      <c r="M115">
        <f t="shared" si="127"/>
        <v>0</v>
      </c>
      <c r="O115">
        <f t="shared" si="130"/>
        <v>0</v>
      </c>
    </row>
    <row r="116" spans="5:15" x14ac:dyDescent="0.25">
      <c r="E116" s="2" t="e">
        <f t="shared" si="10"/>
        <v>#DIV/0!</v>
      </c>
      <c r="H116">
        <f t="shared" si="15"/>
        <v>0</v>
      </c>
      <c r="M116">
        <f t="shared" si="127"/>
        <v>0</v>
      </c>
      <c r="O116">
        <f t="shared" si="130"/>
        <v>0</v>
      </c>
    </row>
    <row r="117" spans="5:15" x14ac:dyDescent="0.25">
      <c r="E117" s="2" t="e">
        <f t="shared" si="10"/>
        <v>#DIV/0!</v>
      </c>
      <c r="H117">
        <f t="shared" si="15"/>
        <v>0</v>
      </c>
      <c r="M117">
        <f t="shared" si="127"/>
        <v>0</v>
      </c>
      <c r="O117">
        <f t="shared" si="130"/>
        <v>0</v>
      </c>
    </row>
    <row r="118" spans="5:15" x14ac:dyDescent="0.25">
      <c r="E118" s="2" t="e">
        <f t="shared" si="10"/>
        <v>#DIV/0!</v>
      </c>
      <c r="H118">
        <f t="shared" si="15"/>
        <v>0</v>
      </c>
      <c r="M118">
        <f t="shared" si="127"/>
        <v>0</v>
      </c>
      <c r="O118">
        <f t="shared" si="130"/>
        <v>0</v>
      </c>
    </row>
    <row r="119" spans="5:15" x14ac:dyDescent="0.25">
      <c r="E119" s="2" t="e">
        <f t="shared" si="10"/>
        <v>#DIV/0!</v>
      </c>
      <c r="H119">
        <f t="shared" si="15"/>
        <v>0</v>
      </c>
      <c r="M119">
        <f t="shared" si="127"/>
        <v>0</v>
      </c>
      <c r="O119">
        <f t="shared" si="130"/>
        <v>0</v>
      </c>
    </row>
    <row r="120" spans="5:15" x14ac:dyDescent="0.25">
      <c r="E120" s="2" t="e">
        <f t="shared" si="10"/>
        <v>#DIV/0!</v>
      </c>
      <c r="H120">
        <f t="shared" si="15"/>
        <v>0</v>
      </c>
      <c r="M120">
        <f t="shared" si="127"/>
        <v>0</v>
      </c>
      <c r="O120">
        <f t="shared" si="130"/>
        <v>0</v>
      </c>
    </row>
    <row r="121" spans="5:15" x14ac:dyDescent="0.25">
      <c r="E121" s="2" t="e">
        <f t="shared" ref="E121:E133" si="131">(B121)/(B121+C121+D121)</f>
        <v>#DIV/0!</v>
      </c>
      <c r="H121">
        <f t="shared" ref="H121:H133" si="132">F121-G121</f>
        <v>0</v>
      </c>
      <c r="M121">
        <f t="shared" si="127"/>
        <v>0</v>
      </c>
      <c r="O121">
        <f t="shared" si="130"/>
        <v>0</v>
      </c>
    </row>
    <row r="122" spans="5:15" x14ac:dyDescent="0.25">
      <c r="E122" s="2" t="e">
        <f t="shared" si="131"/>
        <v>#DIV/0!</v>
      </c>
      <c r="H122">
        <f t="shared" si="132"/>
        <v>0</v>
      </c>
      <c r="M122">
        <f t="shared" si="127"/>
        <v>0</v>
      </c>
      <c r="O122">
        <f t="shared" si="130"/>
        <v>0</v>
      </c>
    </row>
    <row r="123" spans="5:15" x14ac:dyDescent="0.25">
      <c r="E123" s="2" t="e">
        <f t="shared" si="131"/>
        <v>#DIV/0!</v>
      </c>
      <c r="H123">
        <f t="shared" si="132"/>
        <v>0</v>
      </c>
      <c r="M123">
        <f t="shared" si="127"/>
        <v>0</v>
      </c>
      <c r="O123">
        <f t="shared" si="130"/>
        <v>0</v>
      </c>
    </row>
    <row r="124" spans="5:15" x14ac:dyDescent="0.25">
      <c r="E124" s="2" t="e">
        <f t="shared" si="131"/>
        <v>#DIV/0!</v>
      </c>
      <c r="H124">
        <f t="shared" si="132"/>
        <v>0</v>
      </c>
      <c r="M124">
        <f t="shared" si="127"/>
        <v>0</v>
      </c>
      <c r="O124">
        <f t="shared" si="130"/>
        <v>0</v>
      </c>
    </row>
    <row r="125" spans="5:15" x14ac:dyDescent="0.25">
      <c r="E125" s="2" t="e">
        <f t="shared" si="131"/>
        <v>#DIV/0!</v>
      </c>
      <c r="H125">
        <f t="shared" si="132"/>
        <v>0</v>
      </c>
      <c r="M125">
        <f t="shared" si="127"/>
        <v>0</v>
      </c>
      <c r="O125">
        <f t="shared" si="130"/>
        <v>0</v>
      </c>
    </row>
    <row r="126" spans="5:15" x14ac:dyDescent="0.25">
      <c r="E126" s="2" t="e">
        <f t="shared" si="131"/>
        <v>#DIV/0!</v>
      </c>
      <c r="H126">
        <f t="shared" si="132"/>
        <v>0</v>
      </c>
      <c r="M126">
        <f t="shared" si="127"/>
        <v>0</v>
      </c>
      <c r="O126">
        <f t="shared" si="130"/>
        <v>0</v>
      </c>
    </row>
    <row r="127" spans="5:15" x14ac:dyDescent="0.25">
      <c r="E127" s="2" t="e">
        <f t="shared" si="131"/>
        <v>#DIV/0!</v>
      </c>
      <c r="H127">
        <f t="shared" si="132"/>
        <v>0</v>
      </c>
      <c r="M127">
        <f t="shared" si="127"/>
        <v>0</v>
      </c>
      <c r="O127">
        <f t="shared" si="130"/>
        <v>0</v>
      </c>
    </row>
    <row r="128" spans="5:15" x14ac:dyDescent="0.25">
      <c r="E128" s="2" t="e">
        <f t="shared" si="131"/>
        <v>#DIV/0!</v>
      </c>
      <c r="H128">
        <f t="shared" si="132"/>
        <v>0</v>
      </c>
      <c r="M128">
        <f t="shared" si="127"/>
        <v>0</v>
      </c>
      <c r="O128">
        <f t="shared" si="130"/>
        <v>0</v>
      </c>
    </row>
    <row r="129" spans="5:15" x14ac:dyDescent="0.25">
      <c r="E129" s="2" t="e">
        <f t="shared" si="131"/>
        <v>#DIV/0!</v>
      </c>
      <c r="H129">
        <f t="shared" si="132"/>
        <v>0</v>
      </c>
      <c r="M129">
        <f t="shared" si="127"/>
        <v>0</v>
      </c>
      <c r="O129">
        <f t="shared" si="130"/>
        <v>0</v>
      </c>
    </row>
    <row r="130" spans="5:15" x14ac:dyDescent="0.25">
      <c r="E130" t="e">
        <f t="shared" si="131"/>
        <v>#DIV/0!</v>
      </c>
      <c r="H130">
        <f t="shared" si="132"/>
        <v>0</v>
      </c>
      <c r="M130">
        <f t="shared" si="127"/>
        <v>0</v>
      </c>
      <c r="O130">
        <f t="shared" si="130"/>
        <v>0</v>
      </c>
    </row>
    <row r="131" spans="5:15" x14ac:dyDescent="0.25">
      <c r="E131" t="e">
        <f t="shared" si="131"/>
        <v>#DIV/0!</v>
      </c>
      <c r="H131">
        <f t="shared" si="132"/>
        <v>0</v>
      </c>
      <c r="M131">
        <f t="shared" si="127"/>
        <v>0</v>
      </c>
      <c r="O131">
        <f t="shared" si="130"/>
        <v>0</v>
      </c>
    </row>
    <row r="132" spans="5:15" x14ac:dyDescent="0.25">
      <c r="E132" t="e">
        <f t="shared" si="131"/>
        <v>#DIV/0!</v>
      </c>
      <c r="H132">
        <f t="shared" si="132"/>
        <v>0</v>
      </c>
      <c r="M132">
        <f t="shared" si="127"/>
        <v>0</v>
      </c>
      <c r="O132">
        <f t="shared" si="130"/>
        <v>0</v>
      </c>
    </row>
    <row r="133" spans="5:15" x14ac:dyDescent="0.25">
      <c r="E133" t="e">
        <f t="shared" si="131"/>
        <v>#DIV/0!</v>
      </c>
      <c r="H133">
        <f t="shared" si="132"/>
        <v>0</v>
      </c>
      <c r="M133">
        <f t="shared" si="127"/>
        <v>0</v>
      </c>
      <c r="O133">
        <f t="shared" si="130"/>
        <v>0</v>
      </c>
    </row>
  </sheetData>
  <sortState xmlns:xlrd2="http://schemas.microsoft.com/office/spreadsheetml/2017/richdata2" ref="A10:O136">
    <sortCondition ref="A83:A136"/>
  </sortState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A133"/>
  <sheetViews>
    <sheetView topLeftCell="A28" zoomScaleNormal="100" workbookViewId="0">
      <selection activeCell="H42" sqref="H42"/>
    </sheetView>
  </sheetViews>
  <sheetFormatPr defaultRowHeight="15" x14ac:dyDescent="0.25"/>
  <cols>
    <col min="1" max="1" width="26.85546875" style="3" customWidth="1"/>
  </cols>
  <sheetData>
    <row r="1" spans="1:27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x14ac:dyDescent="0.25">
      <c r="A2" s="1" t="s">
        <v>18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P2" s="1"/>
    </row>
    <row r="3" spans="1:27" x14ac:dyDescent="0.25">
      <c r="A3" s="3" t="s">
        <v>173</v>
      </c>
      <c r="B3">
        <f>1+1</f>
        <v>2</v>
      </c>
      <c r="C3">
        <f>1+1</f>
        <v>2</v>
      </c>
      <c r="E3" s="2">
        <f t="shared" ref="E3" si="0">(B3)/(B3+C3+D3)</f>
        <v>0.5</v>
      </c>
      <c r="F3">
        <f>6+10+3+14</f>
        <v>33</v>
      </c>
      <c r="G3">
        <f>7+3+10+2</f>
        <v>22</v>
      </c>
      <c r="H3">
        <f t="shared" ref="H3" si="1">F3-G3</f>
        <v>11</v>
      </c>
      <c r="I3">
        <f>60</f>
        <v>60</v>
      </c>
      <c r="L3">
        <f t="shared" ref="L3" si="2">B3*10</f>
        <v>20</v>
      </c>
      <c r="M3">
        <f t="shared" ref="M3" si="3">D3*5</f>
        <v>0</v>
      </c>
      <c r="N3">
        <f>10</f>
        <v>10</v>
      </c>
      <c r="O3">
        <f t="shared" ref="O3" si="4">SUM(I3:N3)</f>
        <v>90</v>
      </c>
    </row>
    <row r="4" spans="1:27" x14ac:dyDescent="0.25">
      <c r="A4" s="3" t="s">
        <v>19</v>
      </c>
      <c r="B4">
        <f>1+1+1</f>
        <v>3</v>
      </c>
      <c r="C4">
        <f>1+1</f>
        <v>2</v>
      </c>
      <c r="E4" s="2">
        <f t="shared" ref="E4:E120" si="5">(B4)/(B4+C4+D4)</f>
        <v>0.6</v>
      </c>
      <c r="F4">
        <f>1+3+10+7+2</f>
        <v>23</v>
      </c>
      <c r="G4">
        <f>18+2+0+6+6</f>
        <v>32</v>
      </c>
      <c r="H4">
        <f t="shared" ref="H4:H120" si="6">F4-G4</f>
        <v>-9</v>
      </c>
      <c r="L4">
        <f t="shared" ref="L4:L110" si="7">B4*10</f>
        <v>30</v>
      </c>
      <c r="M4">
        <f t="shared" ref="M4:M72" si="8">D4*5</f>
        <v>0</v>
      </c>
      <c r="N4">
        <f>10</f>
        <v>10</v>
      </c>
      <c r="O4">
        <f t="shared" ref="O4:O103" si="9">SUM(I4:N4)</f>
        <v>40</v>
      </c>
    </row>
    <row r="5" spans="1:27" x14ac:dyDescent="0.25">
      <c r="A5" s="3" t="s">
        <v>66</v>
      </c>
      <c r="B5">
        <f>1+1+1+1+1+1+1+1+1</f>
        <v>9</v>
      </c>
      <c r="C5">
        <f>1+1+1+1+1+1</f>
        <v>6</v>
      </c>
      <c r="D5">
        <f>1+1</f>
        <v>2</v>
      </c>
      <c r="E5" s="2">
        <f t="shared" si="5"/>
        <v>0.52941176470588236</v>
      </c>
      <c r="F5">
        <f>8+1+15+0+5+9+15+4+10+4+11+5+6+5+4+4+9</f>
        <v>115</v>
      </c>
      <c r="G5">
        <f>7+6+3+13+5+0+0+9+0+4+4+2+3+8+2+16+10</f>
        <v>92</v>
      </c>
      <c r="H5" t="s">
        <v>187</v>
      </c>
      <c r="I5">
        <f>60</f>
        <v>60</v>
      </c>
      <c r="K5">
        <f>20+20+20</f>
        <v>60</v>
      </c>
      <c r="L5">
        <f t="shared" si="7"/>
        <v>90</v>
      </c>
      <c r="M5">
        <f t="shared" si="8"/>
        <v>10</v>
      </c>
      <c r="N5">
        <f>10+10+10+10</f>
        <v>40</v>
      </c>
      <c r="O5">
        <f t="shared" si="9"/>
        <v>260</v>
      </c>
    </row>
    <row r="6" spans="1:27" x14ac:dyDescent="0.25">
      <c r="A6" s="3" t="s">
        <v>158</v>
      </c>
      <c r="B6">
        <f>1+1+1+1</f>
        <v>4</v>
      </c>
      <c r="C6">
        <f>1+1</f>
        <v>2</v>
      </c>
      <c r="E6" s="2">
        <f t="shared" ref="E6" si="10">(B6)/(B6+C6+D6)</f>
        <v>0.66666666666666663</v>
      </c>
      <c r="F6">
        <f>7+10+7+8+5+8</f>
        <v>45</v>
      </c>
      <c r="G6">
        <f>2+7+0+1+10+11</f>
        <v>31</v>
      </c>
      <c r="H6">
        <f t="shared" ref="H6" si="11">F6-G6</f>
        <v>14</v>
      </c>
      <c r="K6">
        <f>20</f>
        <v>20</v>
      </c>
      <c r="L6">
        <f t="shared" ref="L6" si="12">B6*10</f>
        <v>40</v>
      </c>
      <c r="M6">
        <f t="shared" ref="M6" si="13">D6*5</f>
        <v>0</v>
      </c>
      <c r="N6">
        <f>10</f>
        <v>10</v>
      </c>
      <c r="O6">
        <f t="shared" ref="O6" si="14">SUM(I6:N6)</f>
        <v>70</v>
      </c>
    </row>
    <row r="7" spans="1:27" x14ac:dyDescent="0.25">
      <c r="A7" s="3" t="s">
        <v>159</v>
      </c>
      <c r="B7">
        <f>1+1+1+1+1</f>
        <v>5</v>
      </c>
      <c r="C7">
        <f>1+1</f>
        <v>2</v>
      </c>
      <c r="E7" s="2">
        <f t="shared" ref="E7:E8" si="15">(B7)/(B7+C7+D7)</f>
        <v>0.7142857142857143</v>
      </c>
      <c r="F7">
        <f>6+6+7+7+3+4+2</f>
        <v>35</v>
      </c>
      <c r="G7">
        <f>5+5+4+2+5+1+6</f>
        <v>28</v>
      </c>
      <c r="H7">
        <f t="shared" ref="H7:H8" si="16">F7-G7</f>
        <v>7</v>
      </c>
      <c r="L7">
        <f t="shared" ref="L7:L8" si="17">B7*10</f>
        <v>50</v>
      </c>
      <c r="M7">
        <f t="shared" ref="M7:M8" si="18">D7*5</f>
        <v>0</v>
      </c>
      <c r="N7">
        <f>10</f>
        <v>10</v>
      </c>
      <c r="O7">
        <f t="shared" ref="O7:O8" si="19">SUM(I7:N7)</f>
        <v>60</v>
      </c>
    </row>
    <row r="8" spans="1:27" x14ac:dyDescent="0.25">
      <c r="A8" s="3" t="s">
        <v>161</v>
      </c>
      <c r="B8">
        <f>1+1+1+1+1+1</f>
        <v>6</v>
      </c>
      <c r="C8">
        <f>1</f>
        <v>1</v>
      </c>
      <c r="E8" s="2">
        <f t="shared" si="15"/>
        <v>0.8571428571428571</v>
      </c>
      <c r="F8">
        <f>8+21+7+5+10+9+3</f>
        <v>63</v>
      </c>
      <c r="G8">
        <f>0+0+2+3+5+2+16</f>
        <v>28</v>
      </c>
      <c r="H8">
        <f t="shared" si="16"/>
        <v>35</v>
      </c>
      <c r="I8">
        <f>60</f>
        <v>60</v>
      </c>
      <c r="L8">
        <f t="shared" si="17"/>
        <v>60</v>
      </c>
      <c r="M8">
        <f t="shared" si="18"/>
        <v>0</v>
      </c>
      <c r="N8">
        <f>10</f>
        <v>10</v>
      </c>
      <c r="O8">
        <f t="shared" si="19"/>
        <v>130</v>
      </c>
    </row>
    <row r="9" spans="1:27" x14ac:dyDescent="0.25">
      <c r="A9" s="3" t="s">
        <v>157</v>
      </c>
      <c r="C9">
        <f>1+1+1+1+1</f>
        <v>5</v>
      </c>
      <c r="E9" s="2">
        <f t="shared" si="5"/>
        <v>0</v>
      </c>
      <c r="F9">
        <f>2+5+5+5+4</f>
        <v>21</v>
      </c>
      <c r="G9">
        <f>7+6+8+9+8</f>
        <v>38</v>
      </c>
      <c r="H9">
        <f t="shared" si="6"/>
        <v>-17</v>
      </c>
      <c r="L9">
        <f t="shared" si="7"/>
        <v>0</v>
      </c>
      <c r="M9">
        <f t="shared" si="8"/>
        <v>0</v>
      </c>
      <c r="N9">
        <f>10</f>
        <v>10</v>
      </c>
      <c r="O9">
        <f t="shared" ref="O9" si="20">SUM(I9:N9)</f>
        <v>10</v>
      </c>
    </row>
    <row r="10" spans="1:27" x14ac:dyDescent="0.25">
      <c r="A10" s="3" t="s">
        <v>192</v>
      </c>
      <c r="B10">
        <f>1+1+1+1+1+1</f>
        <v>6</v>
      </c>
      <c r="C10">
        <f>1+1+1+1</f>
        <v>4</v>
      </c>
      <c r="E10" s="2">
        <f t="shared" si="5"/>
        <v>0.6</v>
      </c>
      <c r="F10">
        <f>7+2+6+4+1+3+7+8+2+0</f>
        <v>40</v>
      </c>
      <c r="G10">
        <f>2+8+4+3+2+0+6+0+5+3</f>
        <v>33</v>
      </c>
      <c r="H10">
        <f t="shared" si="6"/>
        <v>7</v>
      </c>
      <c r="J10">
        <f>40</f>
        <v>40</v>
      </c>
      <c r="L10">
        <f t="shared" si="7"/>
        <v>60</v>
      </c>
      <c r="M10">
        <f t="shared" si="8"/>
        <v>0</v>
      </c>
      <c r="N10">
        <f>10+10</f>
        <v>20</v>
      </c>
      <c r="O10">
        <f t="shared" ref="O10" si="21">SUM(I10:N10)</f>
        <v>120</v>
      </c>
    </row>
    <row r="11" spans="1:27" x14ac:dyDescent="0.25">
      <c r="A11" s="3" t="s">
        <v>217</v>
      </c>
      <c r="B11">
        <f>1+1</f>
        <v>2</v>
      </c>
      <c r="C11">
        <f>1+1</f>
        <v>2</v>
      </c>
      <c r="E11" s="2">
        <f t="shared" si="5"/>
        <v>0.5</v>
      </c>
      <c r="F11">
        <f>6+11+4+10</f>
        <v>31</v>
      </c>
      <c r="G11">
        <f>7+4+3+11</f>
        <v>25</v>
      </c>
      <c r="H11">
        <f t="shared" si="6"/>
        <v>6</v>
      </c>
      <c r="L11">
        <f t="shared" si="7"/>
        <v>20</v>
      </c>
      <c r="M11">
        <f t="shared" si="8"/>
        <v>0</v>
      </c>
      <c r="N11">
        <f>10</f>
        <v>10</v>
      </c>
      <c r="O11">
        <f t="shared" ref="O11" si="22">SUM(I11:N11)</f>
        <v>30</v>
      </c>
    </row>
    <row r="12" spans="1:27" x14ac:dyDescent="0.25">
      <c r="A12" s="3" t="s">
        <v>193</v>
      </c>
      <c r="B12">
        <f>1+1+1+1+1+1+1+1+1+1+1</f>
        <v>11</v>
      </c>
      <c r="E12" s="2">
        <f t="shared" ref="E12" si="23">(B12)/(B12+C12+D12)</f>
        <v>1</v>
      </c>
      <c r="F12">
        <f>6+10+10+8+13+2+11+3+8+13+7</f>
        <v>91</v>
      </c>
      <c r="G12">
        <f>0+1+5+2+1+1+2+0+7+3+1</f>
        <v>23</v>
      </c>
      <c r="H12">
        <f t="shared" ref="H12" si="24">F12-G12</f>
        <v>68</v>
      </c>
      <c r="I12">
        <f>60+60</f>
        <v>120</v>
      </c>
      <c r="L12">
        <f t="shared" ref="L12" si="25">B12*10</f>
        <v>110</v>
      </c>
      <c r="M12">
        <f t="shared" ref="M12" si="26">D12*5</f>
        <v>0</v>
      </c>
      <c r="N12">
        <f>10+10</f>
        <v>20</v>
      </c>
      <c r="O12">
        <f t="shared" ref="O12" si="27">SUM(I12:N12)</f>
        <v>250</v>
      </c>
    </row>
    <row r="13" spans="1:27" ht="14.25" customHeight="1" x14ac:dyDescent="0.25">
      <c r="A13" s="3" t="s">
        <v>20</v>
      </c>
      <c r="B13">
        <f>1+1+1+1+1+1+1+1+1+1+1</f>
        <v>11</v>
      </c>
      <c r="C13">
        <f>1</f>
        <v>1</v>
      </c>
      <c r="E13" s="2">
        <f>(B13)/(B13+C13+D13)</f>
        <v>0.91666666666666663</v>
      </c>
      <c r="F13">
        <f>18+9+4+6+6+0+6+4+7+5+10+10</f>
        <v>85</v>
      </c>
      <c r="G13">
        <f>1+1+3+1+2+4+0+1+4+0+0+9</f>
        <v>26</v>
      </c>
      <c r="H13">
        <f t="shared" si="6"/>
        <v>59</v>
      </c>
      <c r="I13">
        <f>60</f>
        <v>60</v>
      </c>
      <c r="J13">
        <f>40</f>
        <v>40</v>
      </c>
      <c r="L13">
        <v>0</v>
      </c>
      <c r="M13">
        <f t="shared" si="8"/>
        <v>0</v>
      </c>
      <c r="N13">
        <f>10+10</f>
        <v>20</v>
      </c>
      <c r="O13">
        <f t="shared" si="9"/>
        <v>120</v>
      </c>
    </row>
    <row r="14" spans="1:27" x14ac:dyDescent="0.25">
      <c r="A14" s="3" t="s">
        <v>47</v>
      </c>
      <c r="B14">
        <f>1+1+1+1</f>
        <v>4</v>
      </c>
      <c r="D14">
        <f>1</f>
        <v>1</v>
      </c>
      <c r="E14" s="2">
        <f t="shared" ref="E14" si="28">(B14)/(B14+C14+D14)</f>
        <v>0.8</v>
      </c>
      <c r="F14">
        <f>8+3+5+13+14</f>
        <v>43</v>
      </c>
      <c r="G14">
        <f>2+3+4+1+2</f>
        <v>12</v>
      </c>
      <c r="H14">
        <f t="shared" ref="H14" si="29">F14-G14</f>
        <v>31</v>
      </c>
      <c r="I14">
        <f>60</f>
        <v>60</v>
      </c>
      <c r="L14">
        <f t="shared" ref="L14" si="30">B14*10</f>
        <v>40</v>
      </c>
      <c r="M14">
        <f t="shared" ref="M14" si="31">D14*5</f>
        <v>5</v>
      </c>
      <c r="N14">
        <f>10</f>
        <v>10</v>
      </c>
      <c r="O14">
        <f t="shared" ref="O14" si="32">SUM(I14:N14)</f>
        <v>115</v>
      </c>
    </row>
    <row r="15" spans="1:27" x14ac:dyDescent="0.25">
      <c r="A15" s="3" t="s">
        <v>126</v>
      </c>
      <c r="B15">
        <f>1+1+1+1</f>
        <v>4</v>
      </c>
      <c r="C15">
        <f>1+1</f>
        <v>2</v>
      </c>
      <c r="E15" s="2">
        <f t="shared" ref="E15:E16" si="33">(B15)/(B15+C15+D15)</f>
        <v>0.66666666666666663</v>
      </c>
      <c r="F15">
        <f>5+6+1+0+1+0</f>
        <v>13</v>
      </c>
      <c r="G15">
        <f>4+1+0+1+0+1</f>
        <v>7</v>
      </c>
      <c r="H15">
        <f t="shared" ref="H15:H16" si="34">F15-G15</f>
        <v>6</v>
      </c>
      <c r="J15">
        <f>40</f>
        <v>40</v>
      </c>
      <c r="L15">
        <f t="shared" ref="L15:L16" si="35">B15*10</f>
        <v>40</v>
      </c>
      <c r="M15">
        <f t="shared" ref="M15:M16" si="36">D15*5</f>
        <v>0</v>
      </c>
      <c r="N15">
        <f>10</f>
        <v>10</v>
      </c>
      <c r="O15">
        <f t="shared" ref="O15" si="37">SUM(I15:N15)</f>
        <v>90</v>
      </c>
    </row>
    <row r="16" spans="1:27" x14ac:dyDescent="0.25">
      <c r="A16" s="3" t="s">
        <v>188</v>
      </c>
      <c r="B16">
        <f>1+1+1+1+1</f>
        <v>5</v>
      </c>
      <c r="E16" s="2">
        <f t="shared" si="33"/>
        <v>1</v>
      </c>
      <c r="F16">
        <f>9+7+10+7+4</f>
        <v>37</v>
      </c>
      <c r="G16">
        <f>0+1+2+1+3</f>
        <v>7</v>
      </c>
      <c r="H16">
        <f t="shared" si="34"/>
        <v>30</v>
      </c>
      <c r="I16">
        <f>60</f>
        <v>60</v>
      </c>
      <c r="L16">
        <f t="shared" si="35"/>
        <v>50</v>
      </c>
      <c r="M16">
        <f t="shared" si="36"/>
        <v>0</v>
      </c>
      <c r="N16">
        <f>10</f>
        <v>10</v>
      </c>
      <c r="O16">
        <f t="shared" ref="O16" si="38">SUM(I16:N16)</f>
        <v>120</v>
      </c>
    </row>
    <row r="17" spans="1:15" x14ac:dyDescent="0.25">
      <c r="A17" s="3" t="s">
        <v>21</v>
      </c>
      <c r="B17">
        <f>1+1+1+1+1+1+1+1+1</f>
        <v>9</v>
      </c>
      <c r="C17">
        <f>1+1+1+1+1</f>
        <v>5</v>
      </c>
      <c r="E17" s="2">
        <f t="shared" si="5"/>
        <v>0.6428571428571429</v>
      </c>
      <c r="F17">
        <f>14+3+11+5+4+3+4+8+1+7+11+11+4+4</f>
        <v>90</v>
      </c>
      <c r="G17">
        <f>0+8+2+1+9+1+10+7+13+2+4+3+0+13</f>
        <v>73</v>
      </c>
      <c r="H17">
        <f t="shared" si="6"/>
        <v>17</v>
      </c>
      <c r="I17">
        <f>60</f>
        <v>60</v>
      </c>
      <c r="J17">
        <f>40</f>
        <v>40</v>
      </c>
      <c r="L17">
        <f t="shared" ref="L17:L19" si="39">B17*10</f>
        <v>90</v>
      </c>
      <c r="M17">
        <f t="shared" si="8"/>
        <v>0</v>
      </c>
      <c r="N17">
        <f>10+10+10</f>
        <v>30</v>
      </c>
      <c r="O17">
        <f t="shared" ref="O17" si="40">SUM(I17:N17)</f>
        <v>220</v>
      </c>
    </row>
    <row r="18" spans="1:15" x14ac:dyDescent="0.25">
      <c r="A18" s="3" t="s">
        <v>142</v>
      </c>
      <c r="B18">
        <f>1+1+1+1+1</f>
        <v>5</v>
      </c>
      <c r="C18">
        <f>1+1+1+1+1+1+1+1+1+1+1+1+1+1</f>
        <v>14</v>
      </c>
      <c r="D18">
        <f>1+1</f>
        <v>2</v>
      </c>
      <c r="E18" s="2">
        <f t="shared" si="5"/>
        <v>0.23809523809523808</v>
      </c>
      <c r="F18">
        <f>2+5+0+3+3+3+2+4+7+3+3+1+5+3+1+6+0+6+5+9+5</f>
        <v>76</v>
      </c>
      <c r="G18">
        <f>5+4+9+11+6+7+14+5+4+3+1+4+9+5+6+7+3+6+3+6+8</f>
        <v>126</v>
      </c>
      <c r="H18">
        <f t="shared" si="6"/>
        <v>-50</v>
      </c>
      <c r="K18">
        <f>20+20+20</f>
        <v>60</v>
      </c>
      <c r="L18">
        <f t="shared" si="39"/>
        <v>50</v>
      </c>
      <c r="M18">
        <f t="shared" si="8"/>
        <v>10</v>
      </c>
      <c r="N18">
        <f>10+10+10+10+10</f>
        <v>50</v>
      </c>
      <c r="O18">
        <f t="shared" ref="O18" si="41">SUM(I18:N18)</f>
        <v>170</v>
      </c>
    </row>
    <row r="19" spans="1:15" x14ac:dyDescent="0.25">
      <c r="A19" s="3" t="s">
        <v>235</v>
      </c>
      <c r="B19">
        <f>1+1+1</f>
        <v>3</v>
      </c>
      <c r="C19">
        <f>1+1</f>
        <v>2</v>
      </c>
      <c r="E19" s="2">
        <f t="shared" si="5"/>
        <v>0.6</v>
      </c>
      <c r="F19">
        <f>10+4+5+2+0</f>
        <v>21</v>
      </c>
      <c r="G19">
        <f>2+2+8+1+8</f>
        <v>21</v>
      </c>
      <c r="H19">
        <f t="shared" si="6"/>
        <v>0</v>
      </c>
      <c r="L19">
        <f t="shared" si="39"/>
        <v>30</v>
      </c>
      <c r="M19">
        <f t="shared" si="8"/>
        <v>0</v>
      </c>
      <c r="N19">
        <f>10</f>
        <v>10</v>
      </c>
      <c r="O19">
        <f t="shared" ref="O19" si="42">SUM(I19:N19)</f>
        <v>40</v>
      </c>
    </row>
    <row r="20" spans="1:15" x14ac:dyDescent="0.25">
      <c r="A20" s="3" t="s">
        <v>22</v>
      </c>
      <c r="B20">
        <f>1+1+1+1+1+1+1+1+1</f>
        <v>9</v>
      </c>
      <c r="C20">
        <f>1+1+1+1+1+1+1+1+1+1+1+1+1+1+1+1+1+1+1+1+1+1+1+1+1+1+1+1</f>
        <v>28</v>
      </c>
      <c r="D20">
        <f>1</f>
        <v>1</v>
      </c>
      <c r="E20" s="2">
        <f t="shared" si="5"/>
        <v>0.23684210526315788</v>
      </c>
      <c r="F20">
        <f>10+3+2+1+2+8+11+4+0+4+3+0+3+0+7+0+2+3+4+1+2+4+0+11+0+7+5+7+7+5+5+5+6+4+8+0+5+0</f>
        <v>149</v>
      </c>
      <c r="G20">
        <f>1+7+10+5+6+7+10+10+10+5+11+10+12+15+1+9+12+5+11+13+11+4+5+12+12+6+17+16+6+8+12+17+7+1+3+16+4+9</f>
        <v>336</v>
      </c>
      <c r="H20">
        <f t="shared" si="6"/>
        <v>-187</v>
      </c>
      <c r="J20">
        <f>40</f>
        <v>40</v>
      </c>
      <c r="K20">
        <f>20+20+20+20</f>
        <v>80</v>
      </c>
      <c r="L20">
        <f t="shared" si="7"/>
        <v>90</v>
      </c>
      <c r="M20">
        <f t="shared" si="8"/>
        <v>5</v>
      </c>
      <c r="N20">
        <f>10+10+10+10+10+10+10+10+10+10</f>
        <v>100</v>
      </c>
      <c r="O20">
        <f t="shared" si="9"/>
        <v>315</v>
      </c>
    </row>
    <row r="21" spans="1:15" x14ac:dyDescent="0.25">
      <c r="A21" s="3" t="s">
        <v>23</v>
      </c>
      <c r="B21">
        <f>1+1+1+1+1+1+1+1+1+1+1+1+1+1+1</f>
        <v>15</v>
      </c>
      <c r="C21">
        <f>1+1+1+1+1+1+1</f>
        <v>7</v>
      </c>
      <c r="E21" s="2">
        <f t="shared" si="5"/>
        <v>0.68181818181818177</v>
      </c>
      <c r="F21">
        <f>5+10+8+3+9+9+2+8+13+1+5+3+6+13+13+7+11+14+3+5+1+3</f>
        <v>152</v>
      </c>
      <c r="G21">
        <f>1+5+3+4+4+10+5+3+7+6+2+2+8+0+4+6+5+2+9+3+0+6</f>
        <v>95</v>
      </c>
      <c r="H21">
        <f t="shared" si="6"/>
        <v>57</v>
      </c>
      <c r="I21">
        <f>60</f>
        <v>60</v>
      </c>
      <c r="J21">
        <f>40+40</f>
        <v>80</v>
      </c>
      <c r="K21">
        <f>20</f>
        <v>20</v>
      </c>
      <c r="L21">
        <f t="shared" si="7"/>
        <v>150</v>
      </c>
      <c r="M21">
        <f t="shared" si="8"/>
        <v>0</v>
      </c>
      <c r="N21">
        <f>10+10+10+10</f>
        <v>40</v>
      </c>
      <c r="O21">
        <f t="shared" si="9"/>
        <v>350</v>
      </c>
    </row>
    <row r="22" spans="1:15" x14ac:dyDescent="0.25">
      <c r="A22" s="3" t="s">
        <v>24</v>
      </c>
      <c r="B22">
        <f>1+1+1+1+1</f>
        <v>5</v>
      </c>
      <c r="C22">
        <f>1</f>
        <v>1</v>
      </c>
      <c r="E22" s="2">
        <f t="shared" si="5"/>
        <v>0.83333333333333337</v>
      </c>
      <c r="F22">
        <f>14+10+0+6+4+4</f>
        <v>38</v>
      </c>
      <c r="G22">
        <f>3+1+10+1+2+0</f>
        <v>17</v>
      </c>
      <c r="H22">
        <f t="shared" si="6"/>
        <v>21</v>
      </c>
      <c r="I22">
        <f>60</f>
        <v>60</v>
      </c>
      <c r="L22">
        <f t="shared" si="7"/>
        <v>50</v>
      </c>
      <c r="M22">
        <f t="shared" si="8"/>
        <v>0</v>
      </c>
      <c r="N22">
        <f>10</f>
        <v>10</v>
      </c>
      <c r="O22">
        <f t="shared" ref="O22" si="43">SUM(I22:N22)</f>
        <v>120</v>
      </c>
    </row>
    <row r="23" spans="1:15" x14ac:dyDescent="0.25">
      <c r="A23" s="3" t="s">
        <v>174</v>
      </c>
      <c r="B23">
        <f>1</f>
        <v>1</v>
      </c>
      <c r="C23">
        <f>1+1+1</f>
        <v>3</v>
      </c>
      <c r="E23" s="2">
        <f t="shared" si="5"/>
        <v>0.25</v>
      </c>
      <c r="F23">
        <f>2+0+3+5</f>
        <v>10</v>
      </c>
      <c r="G23">
        <f>3+4+10+4</f>
        <v>21</v>
      </c>
      <c r="H23">
        <f t="shared" si="6"/>
        <v>-11</v>
      </c>
      <c r="J23">
        <f>40</f>
        <v>40</v>
      </c>
      <c r="L23">
        <f t="shared" si="7"/>
        <v>10</v>
      </c>
      <c r="M23">
        <f t="shared" si="8"/>
        <v>0</v>
      </c>
      <c r="N23">
        <f>10</f>
        <v>10</v>
      </c>
      <c r="O23">
        <f t="shared" ref="O23" si="44">SUM(I23:N23)</f>
        <v>60</v>
      </c>
    </row>
    <row r="24" spans="1:15" x14ac:dyDescent="0.25">
      <c r="A24" s="3" t="s">
        <v>143</v>
      </c>
      <c r="B24">
        <f>1+1+1+1</f>
        <v>4</v>
      </c>
      <c r="C24">
        <f>1+1+1+1+1+1+1+1+1+1+1+1+1+1+1+1+1+1+1</f>
        <v>19</v>
      </c>
      <c r="E24" s="2">
        <f t="shared" ref="E24" si="45">(B24)/(B24+C24+D24)</f>
        <v>0.17391304347826086</v>
      </c>
      <c r="F24">
        <f>2+1+5+4+5+2+7+7+4+1+4+0+4+1+7+17+5+3+8+0+10+4+0</f>
        <v>101</v>
      </c>
      <c r="G24">
        <f>15+10+7+3+9+8+9+9+6+4+5+8+11+13+3+5+14+11+18+8+5+15+1</f>
        <v>197</v>
      </c>
      <c r="H24">
        <f t="shared" ref="H24" si="46">F24-G24</f>
        <v>-96</v>
      </c>
      <c r="J24">
        <f>40</f>
        <v>40</v>
      </c>
      <c r="K24">
        <f>20</f>
        <v>20</v>
      </c>
      <c r="L24">
        <f t="shared" ref="L24" si="47">B24*10</f>
        <v>40</v>
      </c>
      <c r="M24">
        <f t="shared" ref="M24" si="48">D24*5</f>
        <v>0</v>
      </c>
      <c r="N24">
        <f>10+10+10+10+10</f>
        <v>50</v>
      </c>
      <c r="O24">
        <f t="shared" ref="O24" si="49">SUM(I24:N24)</f>
        <v>150</v>
      </c>
    </row>
    <row r="25" spans="1:15" x14ac:dyDescent="0.25">
      <c r="A25" s="3" t="s">
        <v>104</v>
      </c>
      <c r="B25">
        <f>1+1+1+1+1+1+1+1+1+1+1+1+1+1</f>
        <v>14</v>
      </c>
      <c r="C25">
        <f>1+1+1+1+1+1+1+1+1+1+1+1+1+1</f>
        <v>14</v>
      </c>
      <c r="D25">
        <f>1+1+1</f>
        <v>3</v>
      </c>
      <c r="E25" s="2">
        <f t="shared" si="5"/>
        <v>0.45161290322580644</v>
      </c>
      <c r="F25">
        <f>5+10+6+7+2+7+8+4+11+11+6+7+10+2+5+4+2+6+6+3+5+1+5+14+12+11+2+7+7+3+7+4</f>
        <v>200</v>
      </c>
      <c r="G25">
        <f>4+9+4+13+7+8+6+1+6+11+8+2+11+7+10+4+10+0+2+3+2+7+8+3+8+10+4+11+1+8+3+7</f>
        <v>198</v>
      </c>
      <c r="H25">
        <f t="shared" si="6"/>
        <v>2</v>
      </c>
      <c r="I25">
        <f>60</f>
        <v>60</v>
      </c>
      <c r="J25">
        <f>40+40</f>
        <v>80</v>
      </c>
      <c r="K25">
        <f>20</f>
        <v>20</v>
      </c>
      <c r="L25">
        <f t="shared" si="7"/>
        <v>140</v>
      </c>
      <c r="M25">
        <f t="shared" si="8"/>
        <v>15</v>
      </c>
      <c r="N25">
        <f>10+10+10+10+10+10+10</f>
        <v>70</v>
      </c>
      <c r="O25">
        <f t="shared" ref="O25" si="50">SUM(I25:N25)</f>
        <v>385</v>
      </c>
    </row>
    <row r="26" spans="1:15" x14ac:dyDescent="0.25">
      <c r="A26" s="3" t="s">
        <v>89</v>
      </c>
      <c r="B26">
        <f>1+1+1+1+1+1+1+1+1</f>
        <v>9</v>
      </c>
      <c r="C26">
        <f>1+1+1+1+1+1</f>
        <v>6</v>
      </c>
      <c r="E26" s="2">
        <f t="shared" ref="E26:E30" si="51">(B26)/(B26+C26+D26)</f>
        <v>0.6</v>
      </c>
      <c r="F26">
        <f>2+7+20+16+4+12+1+3+0+0+9+8+2+10+10</f>
        <v>104</v>
      </c>
      <c r="G26">
        <f>3+3+5+1+7+1+6+2+1+1+0+4+4+1+3</f>
        <v>42</v>
      </c>
      <c r="H26">
        <f t="shared" ref="H26:H30" si="52">F26-G26</f>
        <v>62</v>
      </c>
      <c r="I26">
        <f>60</f>
        <v>60</v>
      </c>
      <c r="K26">
        <f>20</f>
        <v>20</v>
      </c>
      <c r="L26">
        <f t="shared" ref="L26:L30" si="53">B26*10</f>
        <v>90</v>
      </c>
      <c r="M26">
        <f t="shared" ref="M26:M30" si="54">D26*5</f>
        <v>0</v>
      </c>
      <c r="N26">
        <f>10+10+10</f>
        <v>30</v>
      </c>
      <c r="O26">
        <f t="shared" ref="O26" si="55">SUM(I26:N26)</f>
        <v>200</v>
      </c>
    </row>
    <row r="27" spans="1:15" x14ac:dyDescent="0.25">
      <c r="A27" s="3" t="s">
        <v>162</v>
      </c>
      <c r="B27">
        <f>1+1+1+1</f>
        <v>4</v>
      </c>
      <c r="C27">
        <f>1+1</f>
        <v>2</v>
      </c>
      <c r="E27" s="2">
        <f t="shared" si="51"/>
        <v>0.66666666666666663</v>
      </c>
      <c r="F27">
        <f>3+6+17+10+9+10</f>
        <v>55</v>
      </c>
      <c r="G27">
        <f>5+7+0+0+8+2</f>
        <v>22</v>
      </c>
      <c r="H27">
        <f t="shared" si="52"/>
        <v>33</v>
      </c>
      <c r="I27">
        <f>60</f>
        <v>60</v>
      </c>
      <c r="L27">
        <f t="shared" si="53"/>
        <v>40</v>
      </c>
      <c r="M27">
        <f t="shared" si="54"/>
        <v>0</v>
      </c>
      <c r="N27">
        <f>10</f>
        <v>10</v>
      </c>
      <c r="O27">
        <f t="shared" ref="O27" si="56">SUM(I27:N27)</f>
        <v>110</v>
      </c>
    </row>
    <row r="28" spans="1:15" x14ac:dyDescent="0.25">
      <c r="A28" s="3" t="s">
        <v>132</v>
      </c>
      <c r="B28">
        <f>1+1+1+1+1+1+1+1</f>
        <v>8</v>
      </c>
      <c r="C28">
        <f>1+1+1+1</f>
        <v>4</v>
      </c>
      <c r="E28" s="2">
        <f t="shared" si="51"/>
        <v>0.66666666666666663</v>
      </c>
      <c r="F28">
        <f>13+5+1+1+1+0+8+0+6+8+4+2</f>
        <v>49</v>
      </c>
      <c r="G28">
        <f>2+0+0+0+0+8+2+17+0+9+1+10</f>
        <v>49</v>
      </c>
      <c r="H28">
        <f t="shared" si="52"/>
        <v>0</v>
      </c>
      <c r="I28">
        <f>60</f>
        <v>60</v>
      </c>
      <c r="J28">
        <f>40</f>
        <v>40</v>
      </c>
      <c r="K28">
        <f>20</f>
        <v>20</v>
      </c>
      <c r="L28">
        <f t="shared" si="53"/>
        <v>80</v>
      </c>
      <c r="M28">
        <f t="shared" si="54"/>
        <v>0</v>
      </c>
      <c r="N28">
        <f>10+10</f>
        <v>20</v>
      </c>
      <c r="O28">
        <f t="shared" ref="O28:O29" si="57">SUM(I28:N28)</f>
        <v>220</v>
      </c>
    </row>
    <row r="29" spans="1:15" x14ac:dyDescent="0.25">
      <c r="A29" s="3" t="s">
        <v>144</v>
      </c>
      <c r="B29">
        <f>1+1</f>
        <v>2</v>
      </c>
      <c r="C29">
        <f>1+1+1+1+1+1+1+1+1+1+1+1+1</f>
        <v>13</v>
      </c>
      <c r="D29">
        <f>1</f>
        <v>1</v>
      </c>
      <c r="E29" s="2">
        <f t="shared" si="51"/>
        <v>0.125</v>
      </c>
      <c r="F29">
        <f>5+1+2+0+0+5+11+0+12+4+3+5+1+1+1+3</f>
        <v>54</v>
      </c>
      <c r="G29">
        <f>11+2+7+6+9+11+5+10+2+4+16+8+4+7+5+7</f>
        <v>114</v>
      </c>
      <c r="H29">
        <f t="shared" si="52"/>
        <v>-60</v>
      </c>
      <c r="K29">
        <f>20+20+20</f>
        <v>60</v>
      </c>
      <c r="L29">
        <f t="shared" si="53"/>
        <v>20</v>
      </c>
      <c r="M29">
        <f t="shared" si="54"/>
        <v>5</v>
      </c>
      <c r="N29">
        <f>10+10+10+10</f>
        <v>40</v>
      </c>
      <c r="O29">
        <f t="shared" si="57"/>
        <v>125</v>
      </c>
    </row>
    <row r="30" spans="1:15" x14ac:dyDescent="0.25">
      <c r="A30" s="3" t="s">
        <v>141</v>
      </c>
      <c r="B30">
        <f>1+1+1</f>
        <v>3</v>
      </c>
      <c r="C30">
        <f>1+1</f>
        <v>2</v>
      </c>
      <c r="E30" s="2">
        <f t="shared" si="51"/>
        <v>0.6</v>
      </c>
      <c r="F30">
        <f>4+1+5+11+5</f>
        <v>26</v>
      </c>
      <c r="G30">
        <f>5+5+1+3+4</f>
        <v>18</v>
      </c>
      <c r="H30">
        <f t="shared" si="52"/>
        <v>8</v>
      </c>
      <c r="I30">
        <f>60</f>
        <v>60</v>
      </c>
      <c r="L30">
        <f t="shared" si="53"/>
        <v>30</v>
      </c>
      <c r="M30">
        <f t="shared" si="54"/>
        <v>0</v>
      </c>
      <c r="N30">
        <f>10</f>
        <v>10</v>
      </c>
      <c r="O30">
        <f t="shared" ref="O30" si="58">SUM(I30:N30)</f>
        <v>100</v>
      </c>
    </row>
    <row r="31" spans="1:15" x14ac:dyDescent="0.25">
      <c r="A31" s="3" t="s">
        <v>25</v>
      </c>
      <c r="B31">
        <f>1+1+1+1+1</f>
        <v>5</v>
      </c>
      <c r="C31">
        <f>1+1+1+1</f>
        <v>4</v>
      </c>
      <c r="E31" s="2">
        <f t="shared" si="5"/>
        <v>0.55555555555555558</v>
      </c>
      <c r="F31">
        <f>7+6+3+6+0+8+7+4+3</f>
        <v>44</v>
      </c>
      <c r="G31">
        <f>5+5+4+7+9+0+1+3+4</f>
        <v>38</v>
      </c>
      <c r="H31">
        <f t="shared" si="6"/>
        <v>6</v>
      </c>
      <c r="J31">
        <f>40</f>
        <v>40</v>
      </c>
      <c r="L31">
        <f t="shared" si="7"/>
        <v>50</v>
      </c>
      <c r="M31">
        <f t="shared" si="8"/>
        <v>0</v>
      </c>
      <c r="N31">
        <f>10+10</f>
        <v>20</v>
      </c>
      <c r="O31">
        <f t="shared" si="9"/>
        <v>110</v>
      </c>
    </row>
    <row r="32" spans="1:15" x14ac:dyDescent="0.25">
      <c r="A32" s="3" t="s">
        <v>86</v>
      </c>
      <c r="B32">
        <f>1+1+1+1+1</f>
        <v>5</v>
      </c>
      <c r="C32">
        <f>1+1+1+1+1</f>
        <v>5</v>
      </c>
      <c r="E32" s="2">
        <f t="shared" ref="E32" si="59">(B32)/(B32+C32+D32)</f>
        <v>0.5</v>
      </c>
      <c r="F32">
        <f>10+21+8+7+1+2+8+6+0+0</f>
        <v>63</v>
      </c>
      <c r="G32">
        <f>7+0+2+4+7+13+10+3+1+1</f>
        <v>48</v>
      </c>
      <c r="H32">
        <f t="shared" ref="H32" si="60">F32-G32</f>
        <v>15</v>
      </c>
      <c r="J32">
        <f>40</f>
        <v>40</v>
      </c>
      <c r="L32">
        <f t="shared" ref="L32" si="61">B32*10</f>
        <v>50</v>
      </c>
      <c r="M32">
        <f t="shared" ref="M32" si="62">D32*5</f>
        <v>0</v>
      </c>
      <c r="N32">
        <f>10+10</f>
        <v>20</v>
      </c>
      <c r="O32">
        <f t="shared" si="9"/>
        <v>110</v>
      </c>
    </row>
    <row r="33" spans="1:15" x14ac:dyDescent="0.25">
      <c r="A33" s="3" t="s">
        <v>26</v>
      </c>
      <c r="B33">
        <f>1+1+1+1+1+1+1+1+1+1+1+1+1+1+1</f>
        <v>15</v>
      </c>
      <c r="C33">
        <f>1+1+1+1+1+1+1+1+1+1+1+1+1+1+1+1</f>
        <v>16</v>
      </c>
      <c r="D33">
        <f>1</f>
        <v>1</v>
      </c>
      <c r="E33" s="2">
        <f t="shared" si="5"/>
        <v>0.46875</v>
      </c>
      <c r="F33">
        <f>7+1+5+3+2+7+3+4+8+0+0+2+0+1+1+0+8+10+8+6+1+1+2+6+6+2+9+10+3+1+3+5</f>
        <v>125</v>
      </c>
      <c r="G33">
        <f>5+10+4+1+4+10+2+7+1+10+1+5+4+0+0+1+5+7+3+3+8+5+6+6+10+3+1+3+13+9+0+2</f>
        <v>149</v>
      </c>
      <c r="H33">
        <f t="shared" si="6"/>
        <v>-24</v>
      </c>
      <c r="J33">
        <f>40</f>
        <v>40</v>
      </c>
      <c r="K33">
        <f>20+20+20</f>
        <v>60</v>
      </c>
      <c r="L33">
        <f t="shared" si="7"/>
        <v>150</v>
      </c>
      <c r="M33">
        <f t="shared" si="8"/>
        <v>5</v>
      </c>
      <c r="N33">
        <f>10+10+10+10+10</f>
        <v>50</v>
      </c>
      <c r="O33">
        <f t="shared" si="9"/>
        <v>305</v>
      </c>
    </row>
    <row r="34" spans="1:15" x14ac:dyDescent="0.25">
      <c r="A34" s="3" t="s">
        <v>246</v>
      </c>
      <c r="B34">
        <f>1+1</f>
        <v>2</v>
      </c>
      <c r="C34">
        <f>1+1+1</f>
        <v>3</v>
      </c>
      <c r="E34" s="2">
        <f t="shared" ref="E34" si="63">(B34)/(B34+C34+D34)</f>
        <v>0.4</v>
      </c>
      <c r="F34">
        <f>11+0+8+2+4</f>
        <v>25</v>
      </c>
      <c r="G34">
        <f>3+3+7+5+5</f>
        <v>23</v>
      </c>
      <c r="H34">
        <f t="shared" ref="H34" si="64">F34-G34</f>
        <v>2</v>
      </c>
      <c r="L34">
        <f t="shared" ref="L34" si="65">B34*10</f>
        <v>20</v>
      </c>
      <c r="M34">
        <f t="shared" ref="M34" si="66">D34*5</f>
        <v>0</v>
      </c>
      <c r="N34">
        <f>10</f>
        <v>10</v>
      </c>
      <c r="O34">
        <f t="shared" ref="O34" si="67">SUM(I34:N34)</f>
        <v>30</v>
      </c>
    </row>
    <row r="35" spans="1:15" x14ac:dyDescent="0.25">
      <c r="A35" s="3" t="s">
        <v>27</v>
      </c>
      <c r="B35">
        <f>1+1+1+1+1+1+1+1+1+1+1+1+1+1+1+1+1+1+1+1</f>
        <v>20</v>
      </c>
      <c r="C35">
        <f>1+1+1+1+1+1+1+1+1+1+1</f>
        <v>11</v>
      </c>
      <c r="D35">
        <f>1</f>
        <v>1</v>
      </c>
      <c r="E35" s="2">
        <f t="shared" si="5"/>
        <v>0.625</v>
      </c>
      <c r="F35">
        <f>1+1+10+5+1+8+3+7+4+12+5+5+8+9+1+3+6+6+4+12+1+7+4+9+0+0+1+3+0+6+11+6</f>
        <v>159</v>
      </c>
      <c r="G35">
        <f>5+4+2+1+5+5+3+8+3+4+1+9+7+0+10+2+0+2+3+3+3+4+2+5+8+1+8+0+6+2+4+2</f>
        <v>122</v>
      </c>
      <c r="H35">
        <f t="shared" si="6"/>
        <v>37</v>
      </c>
      <c r="I35">
        <f>60+60+60+60</f>
        <v>240</v>
      </c>
      <c r="J35">
        <f>40</f>
        <v>40</v>
      </c>
      <c r="K35">
        <f>20</f>
        <v>20</v>
      </c>
      <c r="L35">
        <f t="shared" si="7"/>
        <v>200</v>
      </c>
      <c r="M35">
        <f t="shared" si="8"/>
        <v>5</v>
      </c>
      <c r="N35">
        <f>10+10+10+10+10+10+10</f>
        <v>70</v>
      </c>
      <c r="O35">
        <f t="shared" ref="O35" si="68">SUM(I35:N35)</f>
        <v>575</v>
      </c>
    </row>
    <row r="36" spans="1:15" x14ac:dyDescent="0.25">
      <c r="A36" s="3" t="s">
        <v>28</v>
      </c>
      <c r="B36">
        <f>1</f>
        <v>1</v>
      </c>
      <c r="C36">
        <f>1+1+1+1+1+1+1+1+1+1+1+1+1+1+1+1</f>
        <v>16</v>
      </c>
      <c r="E36" s="2">
        <f t="shared" si="5"/>
        <v>5.8823529411764705E-2</v>
      </c>
      <c r="F36">
        <f>1+0+1+2+9+3+4+10+1+6+6+1+1+2+3+1+2</f>
        <v>53</v>
      </c>
      <c r="G36">
        <f>10+14+12+11+10+11+14+4+10+7+7+5+4+8+12+14+14</f>
        <v>167</v>
      </c>
      <c r="H36">
        <f t="shared" si="6"/>
        <v>-114</v>
      </c>
      <c r="J36">
        <f>40</f>
        <v>40</v>
      </c>
      <c r="K36">
        <f>20</f>
        <v>20</v>
      </c>
      <c r="L36">
        <f t="shared" si="7"/>
        <v>10</v>
      </c>
      <c r="M36">
        <f t="shared" si="8"/>
        <v>0</v>
      </c>
      <c r="N36">
        <f>10+10+10+10</f>
        <v>40</v>
      </c>
      <c r="O36">
        <f t="shared" si="9"/>
        <v>110</v>
      </c>
    </row>
    <row r="37" spans="1:15" ht="14.25" customHeight="1" x14ac:dyDescent="0.25">
      <c r="A37" s="3" t="s">
        <v>87</v>
      </c>
      <c r="B37">
        <f>1+1+1+1+1+1+1+1+1+1+1+1+1+1+1+1+1+1</f>
        <v>18</v>
      </c>
      <c r="C37">
        <f>1+1+1+1+1+1+1+1+1+1+1+1+1</f>
        <v>13</v>
      </c>
      <c r="E37" s="2">
        <f t="shared" si="5"/>
        <v>0.58064516129032262</v>
      </c>
      <c r="F37">
        <f>6+11+3+4+8+5+2+1+0+0+6+4+0+8+8+8+7+9+2+4+10+2+0+0+0+6+18+13+9+4+6</f>
        <v>164</v>
      </c>
      <c r="G37">
        <f>2+4+4+12+6+2+3+0+1+4+0+2+4+2+6+4+6+0+3+8+1+4+7+7+7+2+8+3+1+1+10</f>
        <v>124</v>
      </c>
      <c r="H37">
        <f t="shared" si="6"/>
        <v>40</v>
      </c>
      <c r="I37">
        <f>60</f>
        <v>60</v>
      </c>
      <c r="J37">
        <f>40+40</f>
        <v>80</v>
      </c>
      <c r="K37">
        <f>20</f>
        <v>20</v>
      </c>
      <c r="L37">
        <f t="shared" si="7"/>
        <v>180</v>
      </c>
      <c r="M37">
        <f t="shared" si="8"/>
        <v>0</v>
      </c>
      <c r="N37">
        <f>10+10+10+10+10+10+10</f>
        <v>70</v>
      </c>
      <c r="O37">
        <f t="shared" ref="O37:O39" si="69">SUM(I37:N37)</f>
        <v>410</v>
      </c>
    </row>
    <row r="38" spans="1:15" x14ac:dyDescent="0.25">
      <c r="A38" s="3" t="s">
        <v>149</v>
      </c>
      <c r="B38">
        <f>1+1+1+1+1</f>
        <v>5</v>
      </c>
      <c r="C38">
        <f>1+1+1+1+1+1+1+1+1</f>
        <v>9</v>
      </c>
      <c r="E38" s="2">
        <f t="shared" ref="E38" si="70">(B38)/(B38+C38+D38)</f>
        <v>0.35714285714285715</v>
      </c>
      <c r="F38">
        <f>6+6+6+4+7+0+4+5+0+8+7+16+10+6</f>
        <v>85</v>
      </c>
      <c r="G38">
        <f>0+9+7+7+5+12+7+6+15+9+10+4+9+2</f>
        <v>102</v>
      </c>
      <c r="H38">
        <f t="shared" ref="H38" si="71">F38-G38</f>
        <v>-17</v>
      </c>
      <c r="I38">
        <f>60</f>
        <v>60</v>
      </c>
      <c r="L38">
        <f t="shared" ref="L38" si="72">B38*10</f>
        <v>50</v>
      </c>
      <c r="M38">
        <f t="shared" ref="M38" si="73">D38*5</f>
        <v>0</v>
      </c>
      <c r="N38">
        <f>10+10+10+10</f>
        <v>40</v>
      </c>
      <c r="O38">
        <f t="shared" ref="O38" si="74">SUM(I38:N38)</f>
        <v>150</v>
      </c>
    </row>
    <row r="39" spans="1:15" x14ac:dyDescent="0.25">
      <c r="A39" s="3" t="s">
        <v>137</v>
      </c>
      <c r="B39">
        <f>1+1+1+1+1</f>
        <v>5</v>
      </c>
      <c r="C39">
        <f>1+1+1+1+1+1+1</f>
        <v>7</v>
      </c>
      <c r="E39" s="2">
        <f t="shared" ref="E39" si="75">(B39)/(B39+C39+D39)</f>
        <v>0.41666666666666669</v>
      </c>
      <c r="F39">
        <f>5+7+5+0+2+0+2+1+6+2+7+1</f>
        <v>38</v>
      </c>
      <c r="G39">
        <f>4+6+2+13+10+8+10+5+5+4+0+4</f>
        <v>71</v>
      </c>
      <c r="H39">
        <f t="shared" ref="H39" si="76">F39-G39</f>
        <v>-33</v>
      </c>
      <c r="K39">
        <f>20+20</f>
        <v>40</v>
      </c>
      <c r="L39">
        <f t="shared" ref="L39" si="77">B39*10</f>
        <v>50</v>
      </c>
      <c r="M39">
        <f t="shared" ref="M39" si="78">D39*5</f>
        <v>0</v>
      </c>
      <c r="N39">
        <f>10+10+10</f>
        <v>30</v>
      </c>
      <c r="O39">
        <f t="shared" si="69"/>
        <v>120</v>
      </c>
    </row>
    <row r="40" spans="1:15" x14ac:dyDescent="0.25">
      <c r="A40" s="3" t="s">
        <v>85</v>
      </c>
      <c r="B40">
        <f>1+1+1+1+1+1</f>
        <v>6</v>
      </c>
      <c r="C40">
        <f>1+1+1+1+1+1+1+1+1+1</f>
        <v>10</v>
      </c>
      <c r="D40">
        <f>1</f>
        <v>1</v>
      </c>
      <c r="E40" s="2">
        <f t="shared" si="5"/>
        <v>0.35294117647058826</v>
      </c>
      <c r="F40">
        <f>0+3+2+1+1+10+3+3+7+1+5+4+8+1+2+15+2</f>
        <v>68</v>
      </c>
      <c r="G40">
        <f>17+7+8+8+0+1+3+13+6+7+1+5+2+9+6+4+15</f>
        <v>112</v>
      </c>
      <c r="H40">
        <f t="shared" si="6"/>
        <v>-44</v>
      </c>
      <c r="J40">
        <f>40</f>
        <v>40</v>
      </c>
      <c r="K40">
        <f>20+20</f>
        <v>40</v>
      </c>
      <c r="L40">
        <f t="shared" si="7"/>
        <v>60</v>
      </c>
      <c r="M40">
        <f t="shared" si="8"/>
        <v>5</v>
      </c>
      <c r="N40">
        <f>10+10+10+10</f>
        <v>40</v>
      </c>
      <c r="O40">
        <f t="shared" ref="O40:O42" si="79">SUM(I40:N40)</f>
        <v>185</v>
      </c>
    </row>
    <row r="41" spans="1:15" x14ac:dyDescent="0.25">
      <c r="A41" s="3" t="s">
        <v>134</v>
      </c>
      <c r="B41">
        <f>1+1+1+1+1+1+1+1</f>
        <v>8</v>
      </c>
      <c r="C41">
        <f>1+1+1+1+1+1+1+1+1+1+1+1+1+1+1+1</f>
        <v>16</v>
      </c>
      <c r="D41">
        <f>1</f>
        <v>1</v>
      </c>
      <c r="E41" s="2">
        <f t="shared" ref="E41" si="80">(B41)/(B41+C41+D41)</f>
        <v>0.32</v>
      </c>
      <c r="F41">
        <f>7+0+2+10+6+4+2+6+10+2+0+1+11+12+2+10+7+4+3+5+0+3+5+8+1</f>
        <v>121</v>
      </c>
      <c r="G41">
        <f>6+6+5+0+11+0+8+7+2+10+6+10+3+11+6+11+8+4+7+7+8+10+10+5+0</f>
        <v>161</v>
      </c>
      <c r="H41">
        <f t="shared" ref="H41" si="81">F41-G41</f>
        <v>-40</v>
      </c>
      <c r="J41">
        <f>40+40+40</f>
        <v>120</v>
      </c>
      <c r="K41">
        <f>20</f>
        <v>20</v>
      </c>
      <c r="L41">
        <f t="shared" ref="L41" si="82">B41*10</f>
        <v>80</v>
      </c>
      <c r="M41">
        <f t="shared" ref="M41" si="83">D41*5</f>
        <v>5</v>
      </c>
      <c r="N41">
        <f>10+10+10+10+10</f>
        <v>50</v>
      </c>
      <c r="O41">
        <f t="shared" ref="O41" si="84">SUM(I41:N41)</f>
        <v>275</v>
      </c>
    </row>
    <row r="42" spans="1:15" x14ac:dyDescent="0.25">
      <c r="A42" s="3" t="s">
        <v>103</v>
      </c>
      <c r="B42">
        <f>1+1+1+1+1+1+1+1+1+1</f>
        <v>10</v>
      </c>
      <c r="C42">
        <f>1+1+1+1+1+1+1</f>
        <v>7</v>
      </c>
      <c r="D42">
        <f>1</f>
        <v>1</v>
      </c>
      <c r="E42" s="2">
        <f t="shared" si="5"/>
        <v>0.55555555555555558</v>
      </c>
      <c r="F42">
        <f>4+10+4+7+6+14+10+3+5+7+10+13+0+8+6+1+5+2</f>
        <v>115</v>
      </c>
      <c r="G42">
        <f>5+4+7+8+3+1+3+4+11+6+0+4+0+0+2+4+4+5</f>
        <v>71</v>
      </c>
      <c r="H42">
        <f t="shared" si="6"/>
        <v>44</v>
      </c>
      <c r="I42">
        <f>60</f>
        <v>60</v>
      </c>
      <c r="K42">
        <f>20</f>
        <v>20</v>
      </c>
      <c r="L42">
        <f t="shared" si="7"/>
        <v>100</v>
      </c>
      <c r="M42">
        <f t="shared" si="8"/>
        <v>5</v>
      </c>
      <c r="N42">
        <f>10+10+10+10</f>
        <v>40</v>
      </c>
      <c r="O42">
        <f t="shared" si="79"/>
        <v>225</v>
      </c>
    </row>
    <row r="43" spans="1:15" x14ac:dyDescent="0.25">
      <c r="A43" s="3" t="s">
        <v>234</v>
      </c>
      <c r="B43">
        <f>1</f>
        <v>1</v>
      </c>
      <c r="C43">
        <f>1+1+1</f>
        <v>3</v>
      </c>
      <c r="E43" s="2">
        <f t="shared" ref="E43" si="85">(B43)/(B43+C43+D43)</f>
        <v>0.25</v>
      </c>
      <c r="F43">
        <f>2+7+0+1</f>
        <v>10</v>
      </c>
      <c r="G43">
        <f>10+0+1+2</f>
        <v>13</v>
      </c>
      <c r="H43">
        <f t="shared" ref="H43" si="86">F43-G43</f>
        <v>-3</v>
      </c>
      <c r="L43">
        <f t="shared" ref="L43" si="87">B43*10</f>
        <v>10</v>
      </c>
      <c r="M43">
        <f t="shared" ref="M43" si="88">D43*5</f>
        <v>0</v>
      </c>
      <c r="N43">
        <f>10</f>
        <v>10</v>
      </c>
      <c r="O43">
        <f t="shared" ref="O43" si="89">SUM(I43:N43)</f>
        <v>20</v>
      </c>
    </row>
    <row r="44" spans="1:15" x14ac:dyDescent="0.25">
      <c r="A44" s="3" t="s">
        <v>29</v>
      </c>
      <c r="B44">
        <f>1+1+1+1+1+1+1+1+1+1+1+1+1</f>
        <v>13</v>
      </c>
      <c r="C44">
        <f>1+1+1+1+1+1+1+1+1+1+1+1+1+1</f>
        <v>14</v>
      </c>
      <c r="E44" s="2">
        <f t="shared" ref="E44" si="90">(B44)/(B44+C44+D44)</f>
        <v>0.48148148148148145</v>
      </c>
      <c r="F44">
        <f>5+5+4+1+0+6+8+1+0+17+13+7+10+7+8+4+5+0+4+1+6+0+4+12+7+10+0</f>
        <v>145</v>
      </c>
      <c r="G44">
        <f>7+6+2+3+6+1+4+15+2+0+0+4+0+1+4+5+7+3+11+10+5+5+10+0+4+3+5</f>
        <v>123</v>
      </c>
      <c r="H44">
        <f t="shared" ref="H44" si="91">F44-G44</f>
        <v>22</v>
      </c>
      <c r="I44">
        <f>60</f>
        <v>60</v>
      </c>
      <c r="J44">
        <f>40</f>
        <v>40</v>
      </c>
      <c r="L44">
        <f t="shared" ref="L44" si="92">B44*10</f>
        <v>130</v>
      </c>
      <c r="M44">
        <f t="shared" ref="M44" si="93">D44*5</f>
        <v>0</v>
      </c>
      <c r="N44">
        <f>10+10+10+10+10</f>
        <v>50</v>
      </c>
      <c r="O44">
        <f t="shared" ref="O44" si="94">SUM(I44:N44)</f>
        <v>280</v>
      </c>
    </row>
    <row r="45" spans="1:15" x14ac:dyDescent="0.25">
      <c r="A45" s="3" t="s">
        <v>140</v>
      </c>
      <c r="B45">
        <f>1</f>
        <v>1</v>
      </c>
      <c r="C45">
        <f>1+1+1</f>
        <v>3</v>
      </c>
      <c r="E45" s="2">
        <f t="shared" ref="E45" si="95">(B45)/(B45+C45+D45)</f>
        <v>0.25</v>
      </c>
      <c r="F45">
        <f>10+2+3+4</f>
        <v>19</v>
      </c>
      <c r="G45">
        <f>0+3+5+5</f>
        <v>13</v>
      </c>
      <c r="H45">
        <f t="shared" ref="H45" si="96">F45-G45</f>
        <v>6</v>
      </c>
      <c r="J45">
        <f>40</f>
        <v>40</v>
      </c>
      <c r="L45">
        <f t="shared" ref="L45" si="97">B45*10</f>
        <v>10</v>
      </c>
      <c r="M45">
        <f t="shared" ref="M45" si="98">D45*5</f>
        <v>0</v>
      </c>
      <c r="N45">
        <f>10</f>
        <v>10</v>
      </c>
      <c r="O45">
        <f t="shared" ref="O45" si="99">SUM(I45:N45)</f>
        <v>60</v>
      </c>
    </row>
    <row r="46" spans="1:15" x14ac:dyDescent="0.25">
      <c r="A46" s="3" t="s">
        <v>83</v>
      </c>
      <c r="B46">
        <f>1+1+1+1+1+1+1+1+1+1+1+1+1+1+1+1</f>
        <v>16</v>
      </c>
      <c r="C46">
        <f>1+1+1+1+1+1+1+1</f>
        <v>8</v>
      </c>
      <c r="E46" s="2">
        <f t="shared" ref="E46:E52" si="100">(B46)/(B46+C46+D46)</f>
        <v>0.66666666666666663</v>
      </c>
      <c r="F46">
        <f>5+11+4+9+10+2+2+7+11+0+8+4+5+1+2+6+19+5+7+8+13+12+10+6</f>
        <v>167</v>
      </c>
      <c r="G46">
        <f>8+3+6+1+1+8+1+5+10+6+2+6+4+13+3+4+0+0+3+2+1+5+6+7</f>
        <v>105</v>
      </c>
      <c r="H46">
        <f t="shared" ref="H46:H52" si="101">F46-G46</f>
        <v>62</v>
      </c>
      <c r="I46">
        <f>60+60+60</f>
        <v>180</v>
      </c>
      <c r="K46">
        <f>20</f>
        <v>20</v>
      </c>
      <c r="L46">
        <f t="shared" ref="L46:L52" si="102">B46*10</f>
        <v>160</v>
      </c>
      <c r="M46">
        <f t="shared" ref="M46:M52" si="103">D46*5</f>
        <v>0</v>
      </c>
      <c r="N46">
        <f>10+10+10+10+10</f>
        <v>50</v>
      </c>
      <c r="O46">
        <f t="shared" si="9"/>
        <v>410</v>
      </c>
    </row>
    <row r="47" spans="1:15" x14ac:dyDescent="0.25">
      <c r="A47" s="3" t="s">
        <v>183</v>
      </c>
      <c r="B47">
        <f>1+1+1</f>
        <v>3</v>
      </c>
      <c r="C47">
        <f>1+1+1+1+1+1+1</f>
        <v>7</v>
      </c>
      <c r="E47" s="2">
        <f t="shared" si="100"/>
        <v>0.3</v>
      </c>
      <c r="F47">
        <f>4+8+4+8+2+7+6+3+5+2</f>
        <v>49</v>
      </c>
      <c r="G47">
        <f>7+17+5+5+14+3+7+10+4+16</f>
        <v>88</v>
      </c>
      <c r="H47">
        <f t="shared" si="101"/>
        <v>-39</v>
      </c>
      <c r="J47">
        <f>40+40</f>
        <v>80</v>
      </c>
      <c r="L47">
        <f t="shared" si="102"/>
        <v>30</v>
      </c>
      <c r="M47">
        <f t="shared" si="103"/>
        <v>0</v>
      </c>
      <c r="N47">
        <f>10+10</f>
        <v>20</v>
      </c>
      <c r="O47">
        <f t="shared" ref="O47" si="104">SUM(I47:N47)</f>
        <v>130</v>
      </c>
    </row>
    <row r="48" spans="1:15" x14ac:dyDescent="0.25">
      <c r="A48" s="3" t="s">
        <v>105</v>
      </c>
      <c r="B48">
        <f>1+1+1+1+1+1+1+1+1+1+1+1+1+1+1+1</f>
        <v>16</v>
      </c>
      <c r="C48">
        <f>1+1+1+1+1+1+1</f>
        <v>7</v>
      </c>
      <c r="E48" s="2">
        <f t="shared" si="100"/>
        <v>0.69565217391304346</v>
      </c>
      <c r="F48">
        <f>10+5+4+13+6+1+0+9+0+0+5+0+7+2+8+6+11+2+7+8+3+8+3</f>
        <v>118</v>
      </c>
      <c r="G48">
        <f>3+2+6+1+1+0+5+3+1+1+3+21+5+7+2+2+8+9+0+5+2+0+0</f>
        <v>87</v>
      </c>
      <c r="H48">
        <f t="shared" si="101"/>
        <v>31</v>
      </c>
      <c r="I48">
        <f>60+60</f>
        <v>120</v>
      </c>
      <c r="J48">
        <f>40</f>
        <v>40</v>
      </c>
      <c r="L48">
        <f t="shared" si="102"/>
        <v>160</v>
      </c>
      <c r="M48">
        <f t="shared" si="103"/>
        <v>0</v>
      </c>
      <c r="N48">
        <f>10+10+10+10</f>
        <v>40</v>
      </c>
      <c r="O48">
        <f t="shared" ref="O48" si="105">SUM(I48:N48)</f>
        <v>360</v>
      </c>
    </row>
    <row r="49" spans="1:15" x14ac:dyDescent="0.25">
      <c r="A49" s="3" t="s">
        <v>127</v>
      </c>
      <c r="B49">
        <f>1+1+1+1+1+1+1+1+1+1</f>
        <v>10</v>
      </c>
      <c r="C49">
        <f>1+1+1+1+1+1+1+1+1+1+1</f>
        <v>11</v>
      </c>
      <c r="E49" s="2">
        <f t="shared" si="100"/>
        <v>0.47619047619047616</v>
      </c>
      <c r="F49">
        <f>4+8+1+1+1+7+7+2+8+1+2+3+1+3+5+1+5+1+2+4+0</f>
        <v>67</v>
      </c>
      <c r="G49">
        <f>5+2+0+0+0+2+6+7+2+8+8+6+7+4+1+7+6+0+3+1+3</f>
        <v>78</v>
      </c>
      <c r="H49">
        <f t="shared" si="101"/>
        <v>-11</v>
      </c>
      <c r="I49">
        <f>60</f>
        <v>60</v>
      </c>
      <c r="J49">
        <f>40</f>
        <v>40</v>
      </c>
      <c r="L49">
        <f t="shared" si="102"/>
        <v>100</v>
      </c>
      <c r="M49">
        <f t="shared" si="103"/>
        <v>0</v>
      </c>
      <c r="N49">
        <f>10+10+10+10</f>
        <v>40</v>
      </c>
      <c r="O49">
        <f t="shared" ref="O49:O51" si="106">SUM(I49:N49)</f>
        <v>240</v>
      </c>
    </row>
    <row r="50" spans="1:15" x14ac:dyDescent="0.25">
      <c r="A50" s="3" t="s">
        <v>216</v>
      </c>
      <c r="B50">
        <f>1+1</f>
        <v>2</v>
      </c>
      <c r="C50">
        <f>1+1</f>
        <v>2</v>
      </c>
      <c r="E50" s="2">
        <f t="shared" si="100"/>
        <v>0.5</v>
      </c>
      <c r="F50">
        <f>11+9+8+6</f>
        <v>34</v>
      </c>
      <c r="G50">
        <f>10+7+12+10</f>
        <v>39</v>
      </c>
      <c r="H50">
        <f t="shared" si="101"/>
        <v>-5</v>
      </c>
      <c r="L50">
        <f t="shared" si="102"/>
        <v>20</v>
      </c>
      <c r="M50">
        <f t="shared" si="103"/>
        <v>0</v>
      </c>
      <c r="N50">
        <f>10</f>
        <v>10</v>
      </c>
      <c r="O50">
        <f t="shared" si="106"/>
        <v>30</v>
      </c>
    </row>
    <row r="51" spans="1:15" x14ac:dyDescent="0.25">
      <c r="A51" s="3" t="s">
        <v>160</v>
      </c>
      <c r="B51">
        <f>1+1+1+1+1+1</f>
        <v>6</v>
      </c>
      <c r="C51">
        <f>1+1+1+1+1</f>
        <v>5</v>
      </c>
      <c r="E51" s="2">
        <f t="shared" si="100"/>
        <v>0.54545454545454541</v>
      </c>
      <c r="F51">
        <f>7+4+9+0+8+11+1+5+9+8+7</f>
        <v>69</v>
      </c>
      <c r="G51">
        <f>10+7+5+6+4+5+4+1+6+4+12</f>
        <v>64</v>
      </c>
      <c r="H51">
        <f t="shared" si="101"/>
        <v>5</v>
      </c>
      <c r="J51">
        <f>40</f>
        <v>40</v>
      </c>
      <c r="K51">
        <f>20</f>
        <v>20</v>
      </c>
      <c r="L51">
        <f t="shared" si="102"/>
        <v>60</v>
      </c>
      <c r="M51">
        <f t="shared" si="103"/>
        <v>0</v>
      </c>
      <c r="N51">
        <f>10+10</f>
        <v>20</v>
      </c>
      <c r="O51">
        <f t="shared" si="106"/>
        <v>140</v>
      </c>
    </row>
    <row r="52" spans="1:15" x14ac:dyDescent="0.25">
      <c r="A52" s="3" t="s">
        <v>232</v>
      </c>
      <c r="B52">
        <f>1+1+1</f>
        <v>3</v>
      </c>
      <c r="C52">
        <f>1+1</f>
        <v>2</v>
      </c>
      <c r="E52" s="2">
        <f t="shared" si="100"/>
        <v>0.6</v>
      </c>
      <c r="F52">
        <f>12+3+5+10+4</f>
        <v>34</v>
      </c>
      <c r="G52">
        <f>0+5+4+6+11</f>
        <v>26</v>
      </c>
      <c r="H52">
        <f t="shared" si="101"/>
        <v>8</v>
      </c>
      <c r="K52">
        <f>20</f>
        <v>20</v>
      </c>
      <c r="L52">
        <f t="shared" si="102"/>
        <v>30</v>
      </c>
      <c r="M52">
        <f t="shared" si="103"/>
        <v>0</v>
      </c>
      <c r="N52">
        <f>10</f>
        <v>10</v>
      </c>
      <c r="O52">
        <f t="shared" ref="O52" si="107">SUM(I52:N52)</f>
        <v>60</v>
      </c>
    </row>
    <row r="53" spans="1:15" x14ac:dyDescent="0.25">
      <c r="A53" s="3" t="s">
        <v>106</v>
      </c>
      <c r="B53">
        <f>1+1+1</f>
        <v>3</v>
      </c>
      <c r="C53">
        <f>1+1+1+1+1+1+1</f>
        <v>7</v>
      </c>
      <c r="D53">
        <f>1</f>
        <v>1</v>
      </c>
      <c r="E53" s="2">
        <f t="shared" ref="E53" si="108">(B53)/(B53+C53+D53)</f>
        <v>0.27272727272727271</v>
      </c>
      <c r="F53">
        <f>3+1+7+3+0+3+1+1+3+7+4</f>
        <v>33</v>
      </c>
      <c r="G53">
        <f>10+3+4+8+9+1+7+10+4+6+4</f>
        <v>66</v>
      </c>
      <c r="H53">
        <f t="shared" ref="H53" si="109">F53-G53</f>
        <v>-33</v>
      </c>
      <c r="K53">
        <f>20</f>
        <v>20</v>
      </c>
      <c r="L53">
        <f t="shared" ref="L53" si="110">B53*10</f>
        <v>30</v>
      </c>
      <c r="M53">
        <f t="shared" ref="M53" si="111">D53*5</f>
        <v>5</v>
      </c>
      <c r="N53">
        <f>10+10+10</f>
        <v>30</v>
      </c>
      <c r="O53">
        <f t="shared" ref="O53" si="112">SUM(I53:N53)</f>
        <v>85</v>
      </c>
    </row>
    <row r="54" spans="1:15" x14ac:dyDescent="0.25">
      <c r="A54" s="3" t="s">
        <v>30</v>
      </c>
      <c r="B54">
        <f>1+1</f>
        <v>2</v>
      </c>
      <c r="C54">
        <f>1+1+1+1+1+1+1+1+1</f>
        <v>9</v>
      </c>
      <c r="D54">
        <f>1</f>
        <v>1</v>
      </c>
      <c r="E54" s="2">
        <f t="shared" si="5"/>
        <v>0.16666666666666666</v>
      </c>
      <c r="F54">
        <f>1+4+1+5+8+0+2+1+8+3+4+4</f>
        <v>41</v>
      </c>
      <c r="G54">
        <f>9+5+6+6+5+7+8+4+5+6+4+5</f>
        <v>70</v>
      </c>
      <c r="H54">
        <f t="shared" si="6"/>
        <v>-29</v>
      </c>
      <c r="L54">
        <f t="shared" si="7"/>
        <v>20</v>
      </c>
      <c r="M54">
        <f t="shared" si="8"/>
        <v>5</v>
      </c>
      <c r="N54">
        <f>10+10+10</f>
        <v>30</v>
      </c>
      <c r="O54">
        <f t="shared" ref="O54" si="113">SUM(I54:N54)</f>
        <v>55</v>
      </c>
    </row>
    <row r="55" spans="1:15" x14ac:dyDescent="0.25">
      <c r="A55" s="3" t="s">
        <v>65</v>
      </c>
      <c r="B55">
        <f>1+1+1+1+1</f>
        <v>5</v>
      </c>
      <c r="C55">
        <f>1</f>
        <v>1</v>
      </c>
      <c r="E55" s="2">
        <f t="shared" ref="E55" si="114">(B55)/(B55+C55+D55)</f>
        <v>0.83333333333333337</v>
      </c>
      <c r="F55">
        <f>6+9+4+13+15+2</f>
        <v>49</v>
      </c>
      <c r="G55">
        <f>0+2+8+0+1+0</f>
        <v>11</v>
      </c>
      <c r="H55">
        <f t="shared" ref="H55" si="115">F55-G55</f>
        <v>38</v>
      </c>
      <c r="I55">
        <f>60</f>
        <v>60</v>
      </c>
      <c r="L55">
        <f t="shared" ref="L55" si="116">B55*10</f>
        <v>50</v>
      </c>
      <c r="M55">
        <f t="shared" ref="M55" si="117">D55*5</f>
        <v>0</v>
      </c>
      <c r="N55">
        <f>10</f>
        <v>10</v>
      </c>
      <c r="O55">
        <f t="shared" ref="O55" si="118">SUM(I55:N55)</f>
        <v>120</v>
      </c>
    </row>
    <row r="56" spans="1:15" x14ac:dyDescent="0.25">
      <c r="A56" s="3" t="s">
        <v>31</v>
      </c>
      <c r="B56">
        <f>1+1+1+1+1+1+1+1+1+1+1+1+1+1+1+1</f>
        <v>16</v>
      </c>
      <c r="C56">
        <f>1+1+1+1+1+1+1+1+1+1+1+1</f>
        <v>12</v>
      </c>
      <c r="D56">
        <f>1</f>
        <v>1</v>
      </c>
      <c r="E56" s="2">
        <f t="shared" si="5"/>
        <v>0.55172413793103448</v>
      </c>
      <c r="F56">
        <f>5+7+7+6+4+3+6+14+1+0+5+1+4+0+5+16+4+3+9+0+0+16+16+2+0+3+7+5+14</f>
        <v>163</v>
      </c>
      <c r="G56">
        <f>10+0+3+4+3+3+4+4+5+9+1+5+8+10+3+3+1+6+7+10+19+7+2+8+15+4+1+4+5</f>
        <v>164</v>
      </c>
      <c r="H56">
        <f t="shared" si="6"/>
        <v>-1</v>
      </c>
      <c r="I56">
        <f>60+60+60</f>
        <v>180</v>
      </c>
      <c r="J56">
        <f>40+40</f>
        <v>80</v>
      </c>
      <c r="L56">
        <f t="shared" si="7"/>
        <v>160</v>
      </c>
      <c r="M56">
        <f t="shared" si="8"/>
        <v>5</v>
      </c>
      <c r="N56">
        <f>10+10+10+10+10</f>
        <v>50</v>
      </c>
      <c r="O56">
        <f t="shared" ref="O56" si="119">SUM(I56:N56)</f>
        <v>475</v>
      </c>
    </row>
    <row r="57" spans="1:15" x14ac:dyDescent="0.25">
      <c r="A57" s="3" t="s">
        <v>128</v>
      </c>
      <c r="B57">
        <f>1</f>
        <v>1</v>
      </c>
      <c r="C57">
        <f>1+1+1+1</f>
        <v>4</v>
      </c>
      <c r="E57" s="2">
        <f t="shared" si="5"/>
        <v>0.2</v>
      </c>
      <c r="F57">
        <f>1+6+4+0+0</f>
        <v>11</v>
      </c>
      <c r="G57">
        <f>12+8+3+1+1</f>
        <v>25</v>
      </c>
      <c r="H57">
        <f t="shared" si="6"/>
        <v>-14</v>
      </c>
      <c r="L57">
        <f t="shared" si="7"/>
        <v>10</v>
      </c>
      <c r="M57">
        <f t="shared" si="8"/>
        <v>0</v>
      </c>
      <c r="N57">
        <f>10</f>
        <v>10</v>
      </c>
      <c r="O57">
        <f t="shared" ref="O57" si="120">SUM(I57:N57)</f>
        <v>20</v>
      </c>
    </row>
    <row r="58" spans="1:15" x14ac:dyDescent="0.25">
      <c r="A58" s="3" t="s">
        <v>88</v>
      </c>
      <c r="C58">
        <f>1+1+1+1</f>
        <v>4</v>
      </c>
      <c r="E58" s="2">
        <f t="shared" ref="E58" si="121">(B58)/(B58+C58+D58)</f>
        <v>0</v>
      </c>
      <c r="F58">
        <f>0+0+5+1</f>
        <v>6</v>
      </c>
      <c r="G58">
        <f>13+21+20+16</f>
        <v>70</v>
      </c>
      <c r="H58">
        <f t="shared" ref="H58" si="122">F58-G58</f>
        <v>-64</v>
      </c>
      <c r="L58">
        <f t="shared" ref="L58" si="123">B58*10</f>
        <v>0</v>
      </c>
      <c r="M58">
        <f t="shared" ref="M58" si="124">D58*5</f>
        <v>0</v>
      </c>
      <c r="N58">
        <f>10</f>
        <v>10</v>
      </c>
      <c r="O58">
        <f t="shared" ref="O58" si="125">SUM(I58:N58)</f>
        <v>10</v>
      </c>
    </row>
    <row r="59" spans="1:15" x14ac:dyDescent="0.25">
      <c r="A59" s="3" t="s">
        <v>191</v>
      </c>
      <c r="B59">
        <f>1+1</f>
        <v>2</v>
      </c>
      <c r="C59">
        <f>1+1</f>
        <v>2</v>
      </c>
      <c r="E59" s="2">
        <f t="shared" ref="E59" si="126">(B59)/(B59+C59+D59)</f>
        <v>0.5</v>
      </c>
      <c r="F59">
        <f>0+10+9+3</f>
        <v>22</v>
      </c>
      <c r="G59">
        <f>4+1+5+4</f>
        <v>14</v>
      </c>
      <c r="H59">
        <f t="shared" ref="H59" si="127">F59-G59</f>
        <v>8</v>
      </c>
      <c r="K59">
        <f>20</f>
        <v>20</v>
      </c>
      <c r="L59">
        <f t="shared" ref="L59" si="128">B59*10</f>
        <v>20</v>
      </c>
      <c r="M59">
        <f t="shared" ref="M59" si="129">D59*5</f>
        <v>0</v>
      </c>
      <c r="N59">
        <f>10</f>
        <v>10</v>
      </c>
      <c r="O59">
        <f t="shared" ref="O59" si="130">SUM(I59:N59)</f>
        <v>50</v>
      </c>
    </row>
    <row r="60" spans="1:15" x14ac:dyDescent="0.25">
      <c r="A60" s="3" t="s">
        <v>32</v>
      </c>
      <c r="B60">
        <f>1+1+1+1+1+1+1</f>
        <v>7</v>
      </c>
      <c r="C60">
        <f>1+1+1+1+1+1+1+1+1</f>
        <v>9</v>
      </c>
      <c r="D60">
        <f>1+1+1</f>
        <v>3</v>
      </c>
      <c r="E60" s="2">
        <f t="shared" si="5"/>
        <v>0.36842105263157893</v>
      </c>
      <c r="F60">
        <f>5+3+2+1+11+10+6+2+0+7+5+11+11+9+12+0+6+6+6</f>
        <v>113</v>
      </c>
      <c r="G60">
        <f>7+14+4+6+5+1+7+7+6+3+5+5+5+4+7+12+6+6+9</f>
        <v>119</v>
      </c>
      <c r="H60">
        <f t="shared" si="6"/>
        <v>-6</v>
      </c>
      <c r="I60">
        <f>60</f>
        <v>60</v>
      </c>
      <c r="J60">
        <f>40</f>
        <v>40</v>
      </c>
      <c r="L60">
        <f t="shared" si="7"/>
        <v>70</v>
      </c>
      <c r="M60">
        <f t="shared" si="8"/>
        <v>15</v>
      </c>
      <c r="N60">
        <f>10+10+10+10+10</f>
        <v>50</v>
      </c>
      <c r="O60">
        <f t="shared" si="9"/>
        <v>235</v>
      </c>
    </row>
    <row r="61" spans="1:15" x14ac:dyDescent="0.25">
      <c r="A61" s="3" t="s">
        <v>215</v>
      </c>
      <c r="B61">
        <f>1+1+1+1+1</f>
        <v>5</v>
      </c>
      <c r="E61" s="2">
        <f t="shared" si="5"/>
        <v>1</v>
      </c>
      <c r="F61">
        <f>8+15+8+4+8</f>
        <v>43</v>
      </c>
      <c r="G61">
        <f>0+0+5+2+2</f>
        <v>9</v>
      </c>
      <c r="H61">
        <f t="shared" si="6"/>
        <v>34</v>
      </c>
      <c r="I61">
        <f>60</f>
        <v>60</v>
      </c>
      <c r="L61">
        <f t="shared" si="7"/>
        <v>50</v>
      </c>
      <c r="M61">
        <f t="shared" si="8"/>
        <v>0</v>
      </c>
      <c r="N61">
        <f>10</f>
        <v>10</v>
      </c>
      <c r="O61">
        <f t="shared" ref="O61" si="131">SUM(I61:N61)</f>
        <v>120</v>
      </c>
    </row>
    <row r="62" spans="1:15" x14ac:dyDescent="0.25">
      <c r="A62" s="3" t="s">
        <v>129</v>
      </c>
      <c r="B62">
        <f>1+1</f>
        <v>2</v>
      </c>
      <c r="C62">
        <f>1+1+1+1+1+1+1+1+1</f>
        <v>9</v>
      </c>
      <c r="E62" s="2">
        <f t="shared" ref="E62" si="132">(B62)/(B62+C62+D62)</f>
        <v>0.18181818181818182</v>
      </c>
      <c r="F62">
        <f>2+2+3+1+1+2+2+5+16+0+5</f>
        <v>39</v>
      </c>
      <c r="G62">
        <f>7+8+6+0+0+7+8+7+3+10+11</f>
        <v>67</v>
      </c>
      <c r="H62">
        <f t="shared" ref="H62:H63" si="133">F62-G62</f>
        <v>-28</v>
      </c>
      <c r="L62">
        <f t="shared" ref="L62:L63" si="134">B62*10</f>
        <v>20</v>
      </c>
      <c r="M62">
        <f t="shared" ref="M62:M63" si="135">D62*5</f>
        <v>0</v>
      </c>
      <c r="N62">
        <f>10+10</f>
        <v>20</v>
      </c>
      <c r="O62">
        <f t="shared" ref="O62:O63" si="136">SUM(I62:N62)</f>
        <v>40</v>
      </c>
    </row>
    <row r="63" spans="1:15" x14ac:dyDescent="0.25">
      <c r="A63" s="3" t="s">
        <v>214</v>
      </c>
      <c r="B63">
        <f>1+1</f>
        <v>2</v>
      </c>
      <c r="C63">
        <f>1+1+1+1+1+1+1+1</f>
        <v>8</v>
      </c>
      <c r="E63" s="2">
        <f>(B63)/(B63+C63+D63)</f>
        <v>0.2</v>
      </c>
      <c r="F63">
        <f>9+2+3+7+2+2+6+7+2+5</f>
        <v>45</v>
      </c>
      <c r="G63">
        <f>8+4+8+6+6+6+7+8+8+8</f>
        <v>69</v>
      </c>
      <c r="H63">
        <f t="shared" si="133"/>
        <v>-24</v>
      </c>
      <c r="J63">
        <f>40</f>
        <v>40</v>
      </c>
      <c r="L63">
        <f t="shared" si="134"/>
        <v>20</v>
      </c>
      <c r="M63">
        <f t="shared" si="135"/>
        <v>0</v>
      </c>
      <c r="N63">
        <f>10+10</f>
        <v>20</v>
      </c>
      <c r="O63">
        <f t="shared" si="136"/>
        <v>80</v>
      </c>
    </row>
    <row r="64" spans="1:15" x14ac:dyDescent="0.25">
      <c r="A64" s="3" t="s">
        <v>33</v>
      </c>
      <c r="B64">
        <f>1+1+1+1+1</f>
        <v>5</v>
      </c>
      <c r="C64">
        <f>1+1+1+1+1+1+1+1+1+1+1+1+1+1</f>
        <v>14</v>
      </c>
      <c r="D64">
        <f>1+1</f>
        <v>2</v>
      </c>
      <c r="E64" s="2">
        <f t="shared" si="5"/>
        <v>0.23809523809523808</v>
      </c>
      <c r="F64">
        <f>4+0+12+4+7+2+3+15+11+4+8+2+5+2+17+1+2+4+4+7+1</f>
        <v>115</v>
      </c>
      <c r="G64">
        <f>1+7+1+6+8+9+15+2+11+8+2+6+11+8+8+3+5+7+4+8+3</f>
        <v>133</v>
      </c>
      <c r="H64">
        <f t="shared" si="6"/>
        <v>-18</v>
      </c>
      <c r="K64">
        <f>20+20+20</f>
        <v>60</v>
      </c>
      <c r="L64">
        <f t="shared" si="7"/>
        <v>50</v>
      </c>
      <c r="M64">
        <f t="shared" si="8"/>
        <v>10</v>
      </c>
      <c r="N64">
        <f>10+10+10+10+10+10</f>
        <v>60</v>
      </c>
      <c r="O64">
        <f t="shared" si="9"/>
        <v>180</v>
      </c>
    </row>
    <row r="65" spans="1:15" x14ac:dyDescent="0.25">
      <c r="A65" s="3" t="s">
        <v>130</v>
      </c>
      <c r="B65">
        <f>1+1+1+1</f>
        <v>4</v>
      </c>
      <c r="C65">
        <f>1+1</f>
        <v>2</v>
      </c>
      <c r="E65" s="2">
        <f t="shared" si="5"/>
        <v>0.66666666666666663</v>
      </c>
      <c r="F65">
        <f>7+8+3+1+1+0</f>
        <v>20</v>
      </c>
      <c r="G65">
        <f>2+6+9+0+0+1</f>
        <v>18</v>
      </c>
      <c r="H65">
        <f t="shared" si="6"/>
        <v>2</v>
      </c>
      <c r="K65">
        <f>20</f>
        <v>20</v>
      </c>
      <c r="L65">
        <f t="shared" si="7"/>
        <v>40</v>
      </c>
      <c r="M65">
        <f t="shared" si="8"/>
        <v>0</v>
      </c>
      <c r="N65">
        <f>10</f>
        <v>10</v>
      </c>
      <c r="O65">
        <f t="shared" ref="O65:O67" si="137">SUM(I65:N65)</f>
        <v>70</v>
      </c>
    </row>
    <row r="66" spans="1:15" x14ac:dyDescent="0.25">
      <c r="A66" s="3" t="s">
        <v>231</v>
      </c>
      <c r="B66">
        <f>1+1+1</f>
        <v>3</v>
      </c>
      <c r="C66">
        <f>1+1</f>
        <v>2</v>
      </c>
      <c r="E66" s="2">
        <f t="shared" ref="E66" si="138">(B66)/(B66+C66+D66)</f>
        <v>0.6</v>
      </c>
      <c r="F66">
        <f>5+6+4+8+2</f>
        <v>25</v>
      </c>
      <c r="G66">
        <f>1+0+5+5+6</f>
        <v>17</v>
      </c>
      <c r="H66">
        <f t="shared" ref="H66" si="139">F66-G66</f>
        <v>8</v>
      </c>
      <c r="J66">
        <f>40</f>
        <v>40</v>
      </c>
      <c r="L66">
        <f t="shared" ref="L66" si="140">B66*10</f>
        <v>30</v>
      </c>
      <c r="M66">
        <f t="shared" ref="M66" si="141">D66*5</f>
        <v>0</v>
      </c>
      <c r="N66">
        <f>10</f>
        <v>10</v>
      </c>
      <c r="O66">
        <f t="shared" ref="O66" si="142">SUM(I66:N66)</f>
        <v>80</v>
      </c>
    </row>
    <row r="67" spans="1:15" x14ac:dyDescent="0.25">
      <c r="A67" s="3" t="s">
        <v>204</v>
      </c>
      <c r="B67">
        <f>1+1+1+1+1+1+1+1+1+1</f>
        <v>10</v>
      </c>
      <c r="C67">
        <f>1+1+1</f>
        <v>3</v>
      </c>
      <c r="D67">
        <f>1</f>
        <v>1</v>
      </c>
      <c r="E67" s="2">
        <f t="shared" si="5"/>
        <v>0.7142857142857143</v>
      </c>
      <c r="F67">
        <f>0+3+10+0+15+10+12+9+0+7+13+5+10</f>
        <v>94</v>
      </c>
      <c r="G67">
        <f>6+0+1+5+0+4+5+10+0+5+3+2+6</f>
        <v>47</v>
      </c>
      <c r="H67">
        <f t="shared" si="6"/>
        <v>47</v>
      </c>
      <c r="I67">
        <f>60</f>
        <v>60</v>
      </c>
      <c r="J67">
        <f>40</f>
        <v>40</v>
      </c>
      <c r="L67">
        <f t="shared" si="7"/>
        <v>100</v>
      </c>
      <c r="M67">
        <f t="shared" si="8"/>
        <v>5</v>
      </c>
      <c r="N67">
        <f>10+10</f>
        <v>20</v>
      </c>
      <c r="O67">
        <f t="shared" si="137"/>
        <v>225</v>
      </c>
    </row>
    <row r="68" spans="1:15" x14ac:dyDescent="0.25">
      <c r="A68" s="3" t="s">
        <v>233</v>
      </c>
      <c r="B68">
        <f>1+1+1+1+1</f>
        <v>5</v>
      </c>
      <c r="E68" s="2">
        <f t="shared" si="5"/>
        <v>1</v>
      </c>
      <c r="F68">
        <f>11+7+16+7+9</f>
        <v>50</v>
      </c>
      <c r="G68">
        <f>7+1+0+4+0</f>
        <v>12</v>
      </c>
      <c r="H68">
        <f t="shared" si="6"/>
        <v>38</v>
      </c>
      <c r="I68">
        <f>60</f>
        <v>60</v>
      </c>
      <c r="L68">
        <f t="shared" si="7"/>
        <v>50</v>
      </c>
      <c r="M68">
        <f t="shared" si="8"/>
        <v>0</v>
      </c>
      <c r="N68">
        <f>10</f>
        <v>10</v>
      </c>
      <c r="O68">
        <f t="shared" ref="O68" si="143">SUM(I68:N68)</f>
        <v>120</v>
      </c>
    </row>
    <row r="69" spans="1:15" x14ac:dyDescent="0.25">
      <c r="A69" s="3" t="s">
        <v>138</v>
      </c>
      <c r="B69">
        <f>1+1+1+1+1+1</f>
        <v>6</v>
      </c>
      <c r="C69">
        <f>1+1+1</f>
        <v>3</v>
      </c>
      <c r="E69" s="2">
        <f t="shared" si="5"/>
        <v>0.66666666666666663</v>
      </c>
      <c r="F69">
        <f>4+4+5+8+3+3+10+4+4</f>
        <v>45</v>
      </c>
      <c r="G69">
        <f>0+8+1+4+10+2+0+1+6</f>
        <v>32</v>
      </c>
      <c r="H69">
        <f t="shared" si="6"/>
        <v>13</v>
      </c>
      <c r="J69">
        <f>40</f>
        <v>40</v>
      </c>
      <c r="K69">
        <f>20</f>
        <v>20</v>
      </c>
      <c r="L69">
        <f t="shared" si="7"/>
        <v>60</v>
      </c>
      <c r="M69">
        <f t="shared" si="8"/>
        <v>0</v>
      </c>
      <c r="N69">
        <f>10+10</f>
        <v>20</v>
      </c>
      <c r="O69">
        <f t="shared" ref="O69" si="144">SUM(I69:N69)</f>
        <v>140</v>
      </c>
    </row>
    <row r="70" spans="1:15" x14ac:dyDescent="0.25">
      <c r="A70" s="3" t="s">
        <v>135</v>
      </c>
      <c r="B70">
        <f>1+1+1+1+1</f>
        <v>5</v>
      </c>
      <c r="E70" s="2">
        <f>(B70)/(B70+C70+D70)</f>
        <v>1</v>
      </c>
      <c r="F70" s="7">
        <f>9+8+6+8+8</f>
        <v>39</v>
      </c>
      <c r="G70">
        <f>3+0+1+1+1</f>
        <v>6</v>
      </c>
      <c r="H70">
        <f t="shared" si="6"/>
        <v>33</v>
      </c>
      <c r="I70">
        <f>60</f>
        <v>60</v>
      </c>
      <c r="L70">
        <f t="shared" si="7"/>
        <v>50</v>
      </c>
      <c r="M70">
        <f t="shared" si="8"/>
        <v>0</v>
      </c>
      <c r="N70">
        <f>10</f>
        <v>10</v>
      </c>
      <c r="O70">
        <f t="shared" ref="O70" si="145">SUM(I70:N70)</f>
        <v>120</v>
      </c>
    </row>
    <row r="71" spans="1:15" x14ac:dyDescent="0.25">
      <c r="A71" s="3" t="s">
        <v>84</v>
      </c>
      <c r="B71">
        <f>1</f>
        <v>1</v>
      </c>
      <c r="C71">
        <f>1+1+1+1+1+1+1</f>
        <v>7</v>
      </c>
      <c r="E71" s="2">
        <f t="shared" si="5"/>
        <v>0.125</v>
      </c>
      <c r="F71">
        <f>10+4+10+1+1+7+3+1</f>
        <v>37</v>
      </c>
      <c r="G71">
        <f>9+11+11+9+7+9+14+7</f>
        <v>77</v>
      </c>
      <c r="H71">
        <f t="shared" si="6"/>
        <v>-40</v>
      </c>
      <c r="L71">
        <f t="shared" si="7"/>
        <v>10</v>
      </c>
      <c r="M71">
        <f t="shared" si="8"/>
        <v>0</v>
      </c>
      <c r="N71">
        <f>10+10</f>
        <v>20</v>
      </c>
      <c r="O71">
        <f t="shared" ref="O71:O72" si="146">SUM(I71:N71)</f>
        <v>30</v>
      </c>
    </row>
    <row r="72" spans="1:15" x14ac:dyDescent="0.25">
      <c r="A72" s="3" t="s">
        <v>181</v>
      </c>
      <c r="B72">
        <f>1+1+1+1+1+1+1+1+1</f>
        <v>9</v>
      </c>
      <c r="C72">
        <f>1+1+1+1+1+1+1+1+1+1+1</f>
        <v>11</v>
      </c>
      <c r="E72" s="2">
        <f t="shared" si="5"/>
        <v>0.45</v>
      </c>
      <c r="F72">
        <f>1+3+5+9+4+1+1+8+9+10+0+2+3+3+6+3+4+17+6+3</f>
        <v>98</v>
      </c>
      <c r="G72">
        <f>5+2+11+0+13+10+10+2+7+2+1+6+11+1+2+7+7+5+4+7</f>
        <v>113</v>
      </c>
      <c r="H72">
        <f t="shared" si="6"/>
        <v>-15</v>
      </c>
      <c r="I72">
        <f>60+60</f>
        <v>120</v>
      </c>
      <c r="J72">
        <f>40+40</f>
        <v>80</v>
      </c>
      <c r="L72">
        <f t="shared" si="7"/>
        <v>90</v>
      </c>
      <c r="M72">
        <f t="shared" si="8"/>
        <v>0</v>
      </c>
      <c r="N72">
        <f>10+10+10+10</f>
        <v>40</v>
      </c>
      <c r="O72">
        <f t="shared" si="146"/>
        <v>330</v>
      </c>
    </row>
    <row r="73" spans="1:15" x14ac:dyDescent="0.25">
      <c r="A73" s="3" t="s">
        <v>139</v>
      </c>
      <c r="B73">
        <f>1+5+1+1+1+1+1+1+1+1+1+1+1+1+1+1+1</f>
        <v>21</v>
      </c>
      <c r="C73">
        <f>1+3+1+1+1+1+1+1+1+1+1</f>
        <v>13</v>
      </c>
      <c r="E73" s="2">
        <f t="shared" ref="E73" si="147">(B73)/(B73+C73+D73)</f>
        <v>0.61764705882352944</v>
      </c>
      <c r="F73">
        <f>9+4+4+7+4+12+7+0+5+2+1+12+11+5+0+5+7+6+8+7+2+2+3+3+8+15</f>
        <v>149</v>
      </c>
      <c r="G73">
        <f>5+11+8+2+0+3+4+3+0+5+4+0+4+0+10+12+1+3+7+6+8+8+2+13+2+2</f>
        <v>123</v>
      </c>
      <c r="H73">
        <f t="shared" ref="H73" si="148">F73-G73</f>
        <v>26</v>
      </c>
      <c r="I73">
        <f>60</f>
        <v>60</v>
      </c>
      <c r="J73">
        <f>40+40</f>
        <v>80</v>
      </c>
      <c r="K73">
        <f>20</f>
        <v>20</v>
      </c>
      <c r="L73">
        <f t="shared" ref="L73" si="149">B73*10</f>
        <v>210</v>
      </c>
      <c r="M73">
        <f t="shared" ref="M73" si="150">D73*5</f>
        <v>0</v>
      </c>
      <c r="N73">
        <f>10+10+10+10+10+10</f>
        <v>60</v>
      </c>
      <c r="O73">
        <f t="shared" ref="O73" si="151">SUM(I73:N73)</f>
        <v>430</v>
      </c>
    </row>
    <row r="74" spans="1:15" x14ac:dyDescent="0.25">
      <c r="A74" s="3" t="s">
        <v>131</v>
      </c>
      <c r="B74">
        <f>1+1+1</f>
        <v>3</v>
      </c>
      <c r="C74">
        <f>1+1+1</f>
        <v>3</v>
      </c>
      <c r="E74" s="2">
        <f t="shared" ref="E74:E75" si="152">(B74)/(B74+C74+D74)</f>
        <v>0.5</v>
      </c>
      <c r="F74">
        <f>6+10+1+0+1+0</f>
        <v>18</v>
      </c>
      <c r="G74">
        <f>8+8+0+1+0+1</f>
        <v>18</v>
      </c>
      <c r="H74">
        <f t="shared" ref="H74:H75" si="153">F74-G74</f>
        <v>0</v>
      </c>
      <c r="J74">
        <f>40</f>
        <v>40</v>
      </c>
      <c r="L74">
        <f t="shared" ref="L74:L75" si="154">B74*10</f>
        <v>30</v>
      </c>
      <c r="M74">
        <f t="shared" ref="M74:M75" si="155">D74*5</f>
        <v>0</v>
      </c>
      <c r="N74">
        <f>10</f>
        <v>10</v>
      </c>
      <c r="O74">
        <f t="shared" ref="O74" si="156">SUM(I74:N74)</f>
        <v>80</v>
      </c>
    </row>
    <row r="75" spans="1:15" x14ac:dyDescent="0.25">
      <c r="A75" s="3" t="s">
        <v>189</v>
      </c>
      <c r="B75">
        <f>1+1</f>
        <v>2</v>
      </c>
      <c r="C75">
        <f>1</f>
        <v>1</v>
      </c>
      <c r="E75" s="2">
        <f t="shared" si="152"/>
        <v>0.66666666666666663</v>
      </c>
      <c r="F75">
        <f>10+6+1</f>
        <v>17</v>
      </c>
      <c r="G75">
        <f>2+3+7</f>
        <v>12</v>
      </c>
      <c r="H75">
        <f t="shared" si="153"/>
        <v>5</v>
      </c>
      <c r="K75">
        <f>20</f>
        <v>20</v>
      </c>
      <c r="L75">
        <f t="shared" si="154"/>
        <v>20</v>
      </c>
      <c r="M75">
        <f t="shared" si="155"/>
        <v>0</v>
      </c>
      <c r="N75">
        <f>10</f>
        <v>10</v>
      </c>
      <c r="O75">
        <f t="shared" ref="O75" si="157">SUM(I75:N75)</f>
        <v>50</v>
      </c>
    </row>
    <row r="76" spans="1:15" x14ac:dyDescent="0.25">
      <c r="E76" s="2" t="e">
        <f t="shared" si="5"/>
        <v>#DIV/0!</v>
      </c>
      <c r="H76">
        <f t="shared" si="6"/>
        <v>0</v>
      </c>
      <c r="L76">
        <f t="shared" si="7"/>
        <v>0</v>
      </c>
      <c r="M76">
        <f t="shared" ref="M76:M133" si="158">D76*5</f>
        <v>0</v>
      </c>
      <c r="O76">
        <f t="shared" si="9"/>
        <v>0</v>
      </c>
    </row>
    <row r="77" spans="1:15" x14ac:dyDescent="0.25">
      <c r="E77" s="2" t="e">
        <f t="shared" si="5"/>
        <v>#DIV/0!</v>
      </c>
      <c r="H77">
        <f t="shared" si="6"/>
        <v>0</v>
      </c>
      <c r="L77">
        <f t="shared" si="7"/>
        <v>0</v>
      </c>
      <c r="M77">
        <f t="shared" si="158"/>
        <v>0</v>
      </c>
      <c r="O77">
        <f t="shared" si="9"/>
        <v>0</v>
      </c>
    </row>
    <row r="78" spans="1:15" x14ac:dyDescent="0.25">
      <c r="E78" s="2" t="e">
        <f t="shared" si="5"/>
        <v>#DIV/0!</v>
      </c>
      <c r="H78">
        <f t="shared" si="6"/>
        <v>0</v>
      </c>
      <c r="L78">
        <f t="shared" si="7"/>
        <v>0</v>
      </c>
      <c r="M78">
        <f t="shared" si="158"/>
        <v>0</v>
      </c>
      <c r="O78">
        <f t="shared" si="9"/>
        <v>0</v>
      </c>
    </row>
    <row r="79" spans="1:15" x14ac:dyDescent="0.25">
      <c r="E79" s="2" t="e">
        <f t="shared" si="5"/>
        <v>#DIV/0!</v>
      </c>
      <c r="H79">
        <f t="shared" si="6"/>
        <v>0</v>
      </c>
      <c r="L79">
        <f t="shared" si="7"/>
        <v>0</v>
      </c>
      <c r="M79">
        <f t="shared" si="158"/>
        <v>0</v>
      </c>
      <c r="O79">
        <f t="shared" si="9"/>
        <v>0</v>
      </c>
    </row>
    <row r="80" spans="1:15" x14ac:dyDescent="0.25">
      <c r="E80" s="2" t="e">
        <f t="shared" si="5"/>
        <v>#DIV/0!</v>
      </c>
      <c r="H80">
        <f t="shared" si="6"/>
        <v>0</v>
      </c>
      <c r="L80">
        <f t="shared" si="7"/>
        <v>0</v>
      </c>
      <c r="M80">
        <f t="shared" si="158"/>
        <v>0</v>
      </c>
      <c r="O80">
        <f t="shared" si="9"/>
        <v>0</v>
      </c>
    </row>
    <row r="81" spans="1:16" x14ac:dyDescent="0.25">
      <c r="E81" s="2" t="e">
        <f t="shared" si="5"/>
        <v>#DIV/0!</v>
      </c>
      <c r="H81">
        <f t="shared" si="6"/>
        <v>0</v>
      </c>
      <c r="L81">
        <f t="shared" si="7"/>
        <v>0</v>
      </c>
      <c r="M81">
        <f t="shared" si="158"/>
        <v>0</v>
      </c>
      <c r="O81">
        <f t="shared" si="9"/>
        <v>0</v>
      </c>
    </row>
    <row r="82" spans="1:16" x14ac:dyDescent="0.25">
      <c r="E82" s="2" t="e">
        <f t="shared" si="5"/>
        <v>#DIV/0!</v>
      </c>
      <c r="H82">
        <f t="shared" si="6"/>
        <v>0</v>
      </c>
      <c r="L82">
        <f t="shared" si="7"/>
        <v>0</v>
      </c>
      <c r="M82">
        <f t="shared" si="158"/>
        <v>0</v>
      </c>
      <c r="O82">
        <f t="shared" si="9"/>
        <v>0</v>
      </c>
    </row>
    <row r="83" spans="1:16" x14ac:dyDescent="0.25">
      <c r="E83" s="2" t="e">
        <f t="shared" si="5"/>
        <v>#DIV/0!</v>
      </c>
      <c r="H83">
        <f t="shared" si="6"/>
        <v>0</v>
      </c>
      <c r="L83">
        <f t="shared" si="7"/>
        <v>0</v>
      </c>
      <c r="M83">
        <f t="shared" si="158"/>
        <v>0</v>
      </c>
      <c r="O83">
        <f t="shared" si="9"/>
        <v>0</v>
      </c>
    </row>
    <row r="84" spans="1:16" x14ac:dyDescent="0.25">
      <c r="E84" s="2" t="e">
        <f t="shared" si="5"/>
        <v>#DIV/0!</v>
      </c>
      <c r="H84">
        <f t="shared" si="6"/>
        <v>0</v>
      </c>
      <c r="L84">
        <f t="shared" si="7"/>
        <v>0</v>
      </c>
      <c r="M84">
        <f t="shared" si="158"/>
        <v>0</v>
      </c>
      <c r="O84">
        <f t="shared" ref="O84" si="159">SUM(I84:N84)</f>
        <v>0</v>
      </c>
    </row>
    <row r="85" spans="1:16" x14ac:dyDescent="0.25">
      <c r="E85" s="2" t="e">
        <f t="shared" si="5"/>
        <v>#DIV/0!</v>
      </c>
      <c r="H85">
        <f t="shared" si="6"/>
        <v>0</v>
      </c>
      <c r="L85">
        <f t="shared" si="7"/>
        <v>0</v>
      </c>
      <c r="M85">
        <f t="shared" si="158"/>
        <v>0</v>
      </c>
      <c r="O85">
        <f t="shared" si="9"/>
        <v>0</v>
      </c>
    </row>
    <row r="86" spans="1:16" x14ac:dyDescent="0.25">
      <c r="E86" s="2" t="e">
        <f t="shared" si="5"/>
        <v>#DIV/0!</v>
      </c>
      <c r="H86">
        <f t="shared" si="6"/>
        <v>0</v>
      </c>
      <c r="L86">
        <f t="shared" si="7"/>
        <v>0</v>
      </c>
      <c r="M86">
        <f t="shared" si="158"/>
        <v>0</v>
      </c>
      <c r="O86">
        <f t="shared" si="9"/>
        <v>0</v>
      </c>
    </row>
    <row r="87" spans="1:16" x14ac:dyDescent="0.25">
      <c r="E87" s="2" t="e">
        <f t="shared" si="5"/>
        <v>#DIV/0!</v>
      </c>
      <c r="H87">
        <f t="shared" si="6"/>
        <v>0</v>
      </c>
      <c r="L87">
        <f t="shared" si="7"/>
        <v>0</v>
      </c>
      <c r="M87">
        <f t="shared" si="158"/>
        <v>0</v>
      </c>
      <c r="O87">
        <f t="shared" si="9"/>
        <v>0</v>
      </c>
    </row>
    <row r="88" spans="1:16" x14ac:dyDescent="0.25">
      <c r="E88" s="2" t="e">
        <f t="shared" si="5"/>
        <v>#DIV/0!</v>
      </c>
      <c r="H88">
        <f t="shared" si="6"/>
        <v>0</v>
      </c>
      <c r="L88">
        <f t="shared" si="7"/>
        <v>0</v>
      </c>
      <c r="M88">
        <f t="shared" si="158"/>
        <v>0</v>
      </c>
      <c r="O88">
        <f t="shared" si="9"/>
        <v>0</v>
      </c>
    </row>
    <row r="89" spans="1:16" x14ac:dyDescent="0.25">
      <c r="E89" s="2" t="e">
        <f t="shared" si="5"/>
        <v>#DIV/0!</v>
      </c>
      <c r="H89">
        <f t="shared" si="6"/>
        <v>0</v>
      </c>
      <c r="L89">
        <f t="shared" si="7"/>
        <v>0</v>
      </c>
      <c r="M89">
        <f t="shared" si="158"/>
        <v>0</v>
      </c>
      <c r="O89">
        <f t="shared" si="9"/>
        <v>0</v>
      </c>
    </row>
    <row r="90" spans="1:16" x14ac:dyDescent="0.25">
      <c r="E90" s="2" t="e">
        <f t="shared" si="5"/>
        <v>#DIV/0!</v>
      </c>
      <c r="H90">
        <f t="shared" si="6"/>
        <v>0</v>
      </c>
      <c r="L90">
        <f t="shared" si="7"/>
        <v>0</v>
      </c>
      <c r="M90">
        <f t="shared" si="158"/>
        <v>0</v>
      </c>
      <c r="O90">
        <f t="shared" si="9"/>
        <v>0</v>
      </c>
    </row>
    <row r="91" spans="1:16" x14ac:dyDescent="0.25">
      <c r="E91" s="2" t="e">
        <f t="shared" si="5"/>
        <v>#DIV/0!</v>
      </c>
      <c r="H91">
        <f t="shared" si="6"/>
        <v>0</v>
      </c>
      <c r="L91">
        <f t="shared" si="7"/>
        <v>0</v>
      </c>
      <c r="M91">
        <f t="shared" si="158"/>
        <v>0</v>
      </c>
      <c r="O91">
        <f t="shared" ref="O91" si="160">SUM(I91:N91)</f>
        <v>0</v>
      </c>
    </row>
    <row r="92" spans="1:16" x14ac:dyDescent="0.25">
      <c r="E92" s="2" t="e">
        <f t="shared" si="5"/>
        <v>#DIV/0!</v>
      </c>
      <c r="H92">
        <f t="shared" si="6"/>
        <v>0</v>
      </c>
      <c r="L92">
        <f t="shared" si="7"/>
        <v>0</v>
      </c>
      <c r="M92">
        <f t="shared" si="158"/>
        <v>0</v>
      </c>
      <c r="O92">
        <f t="shared" si="9"/>
        <v>0</v>
      </c>
    </row>
    <row r="93" spans="1:16" x14ac:dyDescent="0.25">
      <c r="E93" s="2" t="e">
        <f t="shared" si="5"/>
        <v>#DIV/0!</v>
      </c>
      <c r="H93">
        <f t="shared" si="6"/>
        <v>0</v>
      </c>
      <c r="L93">
        <f t="shared" si="7"/>
        <v>0</v>
      </c>
      <c r="M93">
        <f t="shared" si="158"/>
        <v>0</v>
      </c>
      <c r="O93">
        <f t="shared" si="9"/>
        <v>0</v>
      </c>
    </row>
    <row r="94" spans="1:16" x14ac:dyDescent="0.25">
      <c r="E94" s="2" t="e">
        <f t="shared" si="5"/>
        <v>#DIV/0!</v>
      </c>
      <c r="H94">
        <f t="shared" si="6"/>
        <v>0</v>
      </c>
      <c r="L94">
        <f t="shared" si="7"/>
        <v>0</v>
      </c>
      <c r="M94">
        <f t="shared" si="158"/>
        <v>0</v>
      </c>
      <c r="O94">
        <f t="shared" si="9"/>
        <v>0</v>
      </c>
    </row>
    <row r="95" spans="1:16" x14ac:dyDescent="0.25">
      <c r="A95" s="6"/>
      <c r="B95" s="4"/>
      <c r="C95" s="4"/>
      <c r="D95" s="4"/>
      <c r="E95" s="5" t="e">
        <f t="shared" si="5"/>
        <v>#DIV/0!</v>
      </c>
      <c r="F95" s="4"/>
      <c r="G95" s="4"/>
      <c r="H95" s="4">
        <f t="shared" si="6"/>
        <v>0</v>
      </c>
      <c r="I95" s="4"/>
      <c r="J95" s="4"/>
      <c r="K95" s="4"/>
      <c r="L95" s="4">
        <f t="shared" si="7"/>
        <v>0</v>
      </c>
      <c r="M95" s="4">
        <f t="shared" si="158"/>
        <v>0</v>
      </c>
      <c r="N95" s="4"/>
      <c r="O95" s="4">
        <f t="shared" si="9"/>
        <v>0</v>
      </c>
      <c r="P95" s="4"/>
    </row>
    <row r="96" spans="1:16" x14ac:dyDescent="0.25">
      <c r="E96" s="2" t="e">
        <f t="shared" si="5"/>
        <v>#DIV/0!</v>
      </c>
      <c r="H96">
        <f t="shared" si="6"/>
        <v>0</v>
      </c>
      <c r="L96">
        <f t="shared" si="7"/>
        <v>0</v>
      </c>
      <c r="M96">
        <f t="shared" si="158"/>
        <v>0</v>
      </c>
      <c r="O96">
        <f t="shared" si="9"/>
        <v>0</v>
      </c>
      <c r="P96" s="4"/>
    </row>
    <row r="97" spans="1:16" x14ac:dyDescent="0.25">
      <c r="E97" s="2" t="e">
        <f t="shared" si="5"/>
        <v>#DIV/0!</v>
      </c>
      <c r="H97">
        <f t="shared" si="6"/>
        <v>0</v>
      </c>
      <c r="L97">
        <f t="shared" si="7"/>
        <v>0</v>
      </c>
      <c r="M97">
        <f t="shared" si="158"/>
        <v>0</v>
      </c>
      <c r="O97">
        <f t="shared" si="9"/>
        <v>0</v>
      </c>
    </row>
    <row r="98" spans="1:16" x14ac:dyDescent="0.25">
      <c r="E98" s="2" t="e">
        <f t="shared" si="5"/>
        <v>#DIV/0!</v>
      </c>
      <c r="H98">
        <f t="shared" si="6"/>
        <v>0</v>
      </c>
      <c r="L98">
        <f t="shared" si="7"/>
        <v>0</v>
      </c>
      <c r="M98">
        <f t="shared" si="158"/>
        <v>0</v>
      </c>
      <c r="O98">
        <f t="shared" si="9"/>
        <v>0</v>
      </c>
    </row>
    <row r="99" spans="1:16" x14ac:dyDescent="0.25">
      <c r="A99" s="6"/>
      <c r="B99" s="4"/>
      <c r="C99" s="4"/>
      <c r="D99" s="4"/>
      <c r="E99" s="5" t="e">
        <f t="shared" si="5"/>
        <v>#DIV/0!</v>
      </c>
      <c r="F99" s="4"/>
      <c r="G99" s="4"/>
      <c r="H99" s="4">
        <f t="shared" si="6"/>
        <v>0</v>
      </c>
      <c r="I99" s="4"/>
      <c r="J99" s="4"/>
      <c r="K99" s="4"/>
      <c r="L99" s="4">
        <f t="shared" si="7"/>
        <v>0</v>
      </c>
      <c r="M99" s="4">
        <f t="shared" si="158"/>
        <v>0</v>
      </c>
      <c r="N99" s="4"/>
      <c r="O99" s="4">
        <f t="shared" si="9"/>
        <v>0</v>
      </c>
      <c r="P99" s="4"/>
    </row>
    <row r="100" spans="1:16" x14ac:dyDescent="0.25">
      <c r="A100" s="6"/>
      <c r="B100" s="4"/>
      <c r="C100" s="4"/>
      <c r="D100" s="4"/>
      <c r="E100" s="5" t="e">
        <f t="shared" si="5"/>
        <v>#DIV/0!</v>
      </c>
      <c r="F100" s="4"/>
      <c r="G100" s="4"/>
      <c r="H100" s="4">
        <f t="shared" si="6"/>
        <v>0</v>
      </c>
      <c r="I100" s="4"/>
      <c r="J100" s="4"/>
      <c r="K100" s="4"/>
      <c r="L100" s="4">
        <f t="shared" si="7"/>
        <v>0</v>
      </c>
      <c r="M100" s="4">
        <f t="shared" si="158"/>
        <v>0</v>
      </c>
      <c r="N100" s="4"/>
      <c r="O100" s="4">
        <f t="shared" si="9"/>
        <v>0</v>
      </c>
      <c r="P100" s="4"/>
    </row>
    <row r="101" spans="1:16" x14ac:dyDescent="0.25">
      <c r="A101" s="6"/>
      <c r="B101" s="4"/>
      <c r="C101" s="4"/>
      <c r="D101" s="4"/>
      <c r="E101" s="5" t="e">
        <f t="shared" si="5"/>
        <v>#DIV/0!</v>
      </c>
      <c r="F101" s="4"/>
      <c r="G101" s="4"/>
      <c r="H101" s="4">
        <f t="shared" si="6"/>
        <v>0</v>
      </c>
      <c r="I101" s="4"/>
      <c r="J101" s="4"/>
      <c r="K101" s="4"/>
      <c r="L101" s="4">
        <f t="shared" si="7"/>
        <v>0</v>
      </c>
      <c r="M101" s="4">
        <f t="shared" si="158"/>
        <v>0</v>
      </c>
      <c r="N101" s="4"/>
      <c r="O101" s="4">
        <f t="shared" si="9"/>
        <v>0</v>
      </c>
      <c r="P101" s="4"/>
    </row>
    <row r="102" spans="1:16" x14ac:dyDescent="0.25">
      <c r="A102" s="6"/>
      <c r="B102" s="4"/>
      <c r="C102" s="4"/>
      <c r="D102" s="4"/>
      <c r="E102" s="5" t="e">
        <f t="shared" si="5"/>
        <v>#DIV/0!</v>
      </c>
      <c r="F102" s="4"/>
      <c r="G102" s="4"/>
      <c r="H102" s="4">
        <f t="shared" si="6"/>
        <v>0</v>
      </c>
      <c r="I102" s="4"/>
      <c r="J102" s="4"/>
      <c r="K102" s="4"/>
      <c r="L102" s="4">
        <f t="shared" si="7"/>
        <v>0</v>
      </c>
      <c r="M102" s="4">
        <f t="shared" si="158"/>
        <v>0</v>
      </c>
      <c r="N102" s="4"/>
      <c r="O102" s="4">
        <f t="shared" si="9"/>
        <v>0</v>
      </c>
      <c r="P102" s="4"/>
    </row>
    <row r="103" spans="1:16" x14ac:dyDescent="0.25">
      <c r="A103" s="6"/>
      <c r="B103" s="4"/>
      <c r="C103" s="4"/>
      <c r="D103" s="4"/>
      <c r="E103" s="5" t="e">
        <f t="shared" si="5"/>
        <v>#DIV/0!</v>
      </c>
      <c r="F103" s="4"/>
      <c r="G103" s="4"/>
      <c r="H103" s="4">
        <f t="shared" si="6"/>
        <v>0</v>
      </c>
      <c r="I103" s="4"/>
      <c r="J103" s="4"/>
      <c r="K103" s="4"/>
      <c r="L103" s="4">
        <f t="shared" si="7"/>
        <v>0</v>
      </c>
      <c r="M103" s="4">
        <f t="shared" si="158"/>
        <v>0</v>
      </c>
      <c r="N103" s="4"/>
      <c r="O103" s="4">
        <f t="shared" si="9"/>
        <v>0</v>
      </c>
      <c r="P103" s="4"/>
    </row>
    <row r="104" spans="1:16" x14ac:dyDescent="0.25">
      <c r="A104" s="6"/>
      <c r="B104" s="4"/>
      <c r="C104" s="4"/>
      <c r="D104" s="4"/>
      <c r="E104" s="5" t="e">
        <f t="shared" si="5"/>
        <v>#DIV/0!</v>
      </c>
      <c r="F104" s="4"/>
      <c r="G104" s="4"/>
      <c r="H104" s="4">
        <f t="shared" si="6"/>
        <v>0</v>
      </c>
      <c r="I104" s="4"/>
      <c r="J104" s="4"/>
      <c r="K104" s="4"/>
      <c r="L104" s="4">
        <f t="shared" si="7"/>
        <v>0</v>
      </c>
      <c r="M104" s="4">
        <f t="shared" si="158"/>
        <v>0</v>
      </c>
      <c r="N104" s="4"/>
      <c r="O104" s="4">
        <f t="shared" ref="O104:O133" si="161">SUM(I104:N104)</f>
        <v>0</v>
      </c>
    </row>
    <row r="105" spans="1:16" x14ac:dyDescent="0.25">
      <c r="E105" s="2" t="e">
        <f t="shared" si="5"/>
        <v>#DIV/0!</v>
      </c>
      <c r="H105">
        <f t="shared" si="6"/>
        <v>0</v>
      </c>
      <c r="L105">
        <f t="shared" si="7"/>
        <v>0</v>
      </c>
      <c r="M105">
        <f t="shared" si="158"/>
        <v>0</v>
      </c>
      <c r="O105">
        <f t="shared" si="161"/>
        <v>0</v>
      </c>
    </row>
    <row r="106" spans="1:16" x14ac:dyDescent="0.25">
      <c r="E106" s="2" t="e">
        <f t="shared" si="5"/>
        <v>#DIV/0!</v>
      </c>
      <c r="H106">
        <f t="shared" si="6"/>
        <v>0</v>
      </c>
      <c r="L106">
        <f t="shared" si="7"/>
        <v>0</v>
      </c>
      <c r="M106">
        <f t="shared" si="158"/>
        <v>0</v>
      </c>
      <c r="O106">
        <f t="shared" si="161"/>
        <v>0</v>
      </c>
    </row>
    <row r="107" spans="1:16" x14ac:dyDescent="0.25">
      <c r="E107" s="2" t="e">
        <f t="shared" si="5"/>
        <v>#DIV/0!</v>
      </c>
      <c r="H107">
        <f t="shared" si="6"/>
        <v>0</v>
      </c>
      <c r="L107">
        <f t="shared" si="7"/>
        <v>0</v>
      </c>
      <c r="M107">
        <f t="shared" si="158"/>
        <v>0</v>
      </c>
      <c r="O107">
        <f t="shared" si="161"/>
        <v>0</v>
      </c>
    </row>
    <row r="108" spans="1:16" x14ac:dyDescent="0.25">
      <c r="E108" s="2" t="e">
        <f t="shared" si="5"/>
        <v>#DIV/0!</v>
      </c>
      <c r="H108">
        <f t="shared" si="6"/>
        <v>0</v>
      </c>
      <c r="L108">
        <f t="shared" si="7"/>
        <v>0</v>
      </c>
      <c r="M108">
        <f t="shared" si="158"/>
        <v>0</v>
      </c>
      <c r="O108">
        <f t="shared" si="161"/>
        <v>0</v>
      </c>
    </row>
    <row r="109" spans="1:16" x14ac:dyDescent="0.25">
      <c r="E109" s="2" t="e">
        <f t="shared" si="5"/>
        <v>#DIV/0!</v>
      </c>
      <c r="H109">
        <f t="shared" si="6"/>
        <v>0</v>
      </c>
      <c r="L109">
        <f t="shared" si="7"/>
        <v>0</v>
      </c>
      <c r="M109">
        <f t="shared" si="158"/>
        <v>0</v>
      </c>
      <c r="O109">
        <f t="shared" si="161"/>
        <v>0</v>
      </c>
    </row>
    <row r="110" spans="1:16" x14ac:dyDescent="0.25">
      <c r="E110" s="2" t="e">
        <f t="shared" si="5"/>
        <v>#DIV/0!</v>
      </c>
      <c r="H110">
        <f t="shared" si="6"/>
        <v>0</v>
      </c>
      <c r="L110">
        <f t="shared" si="7"/>
        <v>0</v>
      </c>
      <c r="M110">
        <f t="shared" si="158"/>
        <v>0</v>
      </c>
      <c r="O110">
        <f t="shared" si="161"/>
        <v>0</v>
      </c>
    </row>
    <row r="111" spans="1:16" x14ac:dyDescent="0.25">
      <c r="E111" s="2" t="e">
        <f t="shared" si="5"/>
        <v>#DIV/0!</v>
      </c>
      <c r="H111">
        <f t="shared" si="6"/>
        <v>0</v>
      </c>
      <c r="M111">
        <f t="shared" si="158"/>
        <v>0</v>
      </c>
      <c r="O111">
        <f t="shared" si="161"/>
        <v>0</v>
      </c>
    </row>
    <row r="112" spans="1:16" x14ac:dyDescent="0.25">
      <c r="E112" s="2" t="e">
        <f t="shared" si="5"/>
        <v>#DIV/0!</v>
      </c>
      <c r="H112">
        <f t="shared" si="6"/>
        <v>0</v>
      </c>
      <c r="M112">
        <f t="shared" si="158"/>
        <v>0</v>
      </c>
      <c r="O112">
        <f t="shared" si="161"/>
        <v>0</v>
      </c>
    </row>
    <row r="113" spans="5:15" x14ac:dyDescent="0.25">
      <c r="E113" s="2" t="e">
        <f t="shared" si="5"/>
        <v>#DIV/0!</v>
      </c>
      <c r="H113">
        <f t="shared" si="6"/>
        <v>0</v>
      </c>
      <c r="M113">
        <f t="shared" si="158"/>
        <v>0</v>
      </c>
      <c r="O113">
        <f t="shared" si="161"/>
        <v>0</v>
      </c>
    </row>
    <row r="114" spans="5:15" x14ac:dyDescent="0.25">
      <c r="E114" s="2" t="e">
        <f t="shared" si="5"/>
        <v>#DIV/0!</v>
      </c>
      <c r="H114">
        <f t="shared" si="6"/>
        <v>0</v>
      </c>
      <c r="M114">
        <f t="shared" si="158"/>
        <v>0</v>
      </c>
      <c r="O114">
        <f t="shared" si="161"/>
        <v>0</v>
      </c>
    </row>
    <row r="115" spans="5:15" x14ac:dyDescent="0.25">
      <c r="E115" s="2" t="e">
        <f t="shared" si="5"/>
        <v>#DIV/0!</v>
      </c>
      <c r="H115">
        <f t="shared" si="6"/>
        <v>0</v>
      </c>
      <c r="M115">
        <f t="shared" si="158"/>
        <v>0</v>
      </c>
      <c r="O115">
        <f t="shared" si="161"/>
        <v>0</v>
      </c>
    </row>
    <row r="116" spans="5:15" x14ac:dyDescent="0.25">
      <c r="E116" s="2" t="e">
        <f t="shared" si="5"/>
        <v>#DIV/0!</v>
      </c>
      <c r="H116">
        <f t="shared" si="6"/>
        <v>0</v>
      </c>
      <c r="M116">
        <f t="shared" si="158"/>
        <v>0</v>
      </c>
      <c r="O116">
        <f t="shared" si="161"/>
        <v>0</v>
      </c>
    </row>
    <row r="117" spans="5:15" x14ac:dyDescent="0.25">
      <c r="E117" s="2" t="e">
        <f t="shared" si="5"/>
        <v>#DIV/0!</v>
      </c>
      <c r="H117">
        <f t="shared" si="6"/>
        <v>0</v>
      </c>
      <c r="M117">
        <f t="shared" si="158"/>
        <v>0</v>
      </c>
      <c r="O117">
        <f t="shared" si="161"/>
        <v>0</v>
      </c>
    </row>
    <row r="118" spans="5:15" x14ac:dyDescent="0.25">
      <c r="E118" s="2" t="e">
        <f t="shared" si="5"/>
        <v>#DIV/0!</v>
      </c>
      <c r="H118">
        <f t="shared" si="6"/>
        <v>0</v>
      </c>
      <c r="M118">
        <f t="shared" si="158"/>
        <v>0</v>
      </c>
      <c r="O118">
        <f t="shared" si="161"/>
        <v>0</v>
      </c>
    </row>
    <row r="119" spans="5:15" x14ac:dyDescent="0.25">
      <c r="E119" s="2" t="e">
        <f t="shared" si="5"/>
        <v>#DIV/0!</v>
      </c>
      <c r="H119">
        <f t="shared" si="6"/>
        <v>0</v>
      </c>
      <c r="M119">
        <f t="shared" si="158"/>
        <v>0</v>
      </c>
      <c r="O119">
        <f t="shared" si="161"/>
        <v>0</v>
      </c>
    </row>
    <row r="120" spans="5:15" x14ac:dyDescent="0.25">
      <c r="E120" s="2" t="e">
        <f t="shared" si="5"/>
        <v>#DIV/0!</v>
      </c>
      <c r="H120">
        <f t="shared" si="6"/>
        <v>0</v>
      </c>
      <c r="M120">
        <f t="shared" si="158"/>
        <v>0</v>
      </c>
      <c r="O120">
        <f t="shared" si="161"/>
        <v>0</v>
      </c>
    </row>
    <row r="121" spans="5:15" x14ac:dyDescent="0.25">
      <c r="E121" s="2" t="e">
        <f t="shared" ref="E121:E133" si="162">(B121)/(B121+C121+D121)</f>
        <v>#DIV/0!</v>
      </c>
      <c r="H121">
        <f t="shared" ref="H121:H133" si="163">F121-G121</f>
        <v>0</v>
      </c>
      <c r="M121">
        <f t="shared" si="158"/>
        <v>0</v>
      </c>
      <c r="O121">
        <f t="shared" si="161"/>
        <v>0</v>
      </c>
    </row>
    <row r="122" spans="5:15" x14ac:dyDescent="0.25">
      <c r="E122" s="2" t="e">
        <f t="shared" si="162"/>
        <v>#DIV/0!</v>
      </c>
      <c r="H122">
        <f t="shared" si="163"/>
        <v>0</v>
      </c>
      <c r="M122">
        <f t="shared" si="158"/>
        <v>0</v>
      </c>
      <c r="O122">
        <f t="shared" si="161"/>
        <v>0</v>
      </c>
    </row>
    <row r="123" spans="5:15" x14ac:dyDescent="0.25">
      <c r="E123" s="2" t="e">
        <f t="shared" si="162"/>
        <v>#DIV/0!</v>
      </c>
      <c r="H123">
        <f t="shared" si="163"/>
        <v>0</v>
      </c>
      <c r="M123">
        <f t="shared" si="158"/>
        <v>0</v>
      </c>
      <c r="O123">
        <f t="shared" si="161"/>
        <v>0</v>
      </c>
    </row>
    <row r="124" spans="5:15" x14ac:dyDescent="0.25">
      <c r="E124" s="2" t="e">
        <f t="shared" si="162"/>
        <v>#DIV/0!</v>
      </c>
      <c r="H124">
        <f t="shared" si="163"/>
        <v>0</v>
      </c>
      <c r="M124">
        <f t="shared" si="158"/>
        <v>0</v>
      </c>
      <c r="O124">
        <f t="shared" si="161"/>
        <v>0</v>
      </c>
    </row>
    <row r="125" spans="5:15" x14ac:dyDescent="0.25">
      <c r="E125" s="2" t="e">
        <f t="shared" si="162"/>
        <v>#DIV/0!</v>
      </c>
      <c r="H125">
        <f t="shared" si="163"/>
        <v>0</v>
      </c>
      <c r="M125">
        <f t="shared" si="158"/>
        <v>0</v>
      </c>
      <c r="O125">
        <f t="shared" si="161"/>
        <v>0</v>
      </c>
    </row>
    <row r="126" spans="5:15" x14ac:dyDescent="0.25">
      <c r="E126" s="2" t="e">
        <f t="shared" si="162"/>
        <v>#DIV/0!</v>
      </c>
      <c r="H126">
        <f t="shared" si="163"/>
        <v>0</v>
      </c>
      <c r="M126">
        <f t="shared" si="158"/>
        <v>0</v>
      </c>
      <c r="O126">
        <f t="shared" si="161"/>
        <v>0</v>
      </c>
    </row>
    <row r="127" spans="5:15" x14ac:dyDescent="0.25">
      <c r="E127" s="2" t="e">
        <f t="shared" si="162"/>
        <v>#DIV/0!</v>
      </c>
      <c r="H127">
        <f t="shared" si="163"/>
        <v>0</v>
      </c>
      <c r="M127">
        <f t="shared" si="158"/>
        <v>0</v>
      </c>
      <c r="O127">
        <f t="shared" si="161"/>
        <v>0</v>
      </c>
    </row>
    <row r="128" spans="5:15" x14ac:dyDescent="0.25">
      <c r="E128" s="2" t="e">
        <f t="shared" si="162"/>
        <v>#DIV/0!</v>
      </c>
      <c r="H128">
        <f t="shared" si="163"/>
        <v>0</v>
      </c>
      <c r="M128">
        <f t="shared" si="158"/>
        <v>0</v>
      </c>
      <c r="O128">
        <f t="shared" si="161"/>
        <v>0</v>
      </c>
    </row>
    <row r="129" spans="5:15" x14ac:dyDescent="0.25">
      <c r="E129" s="2" t="e">
        <f t="shared" si="162"/>
        <v>#DIV/0!</v>
      </c>
      <c r="H129">
        <f t="shared" si="163"/>
        <v>0</v>
      </c>
      <c r="M129">
        <f t="shared" si="158"/>
        <v>0</v>
      </c>
      <c r="O129">
        <f t="shared" si="161"/>
        <v>0</v>
      </c>
    </row>
    <row r="130" spans="5:15" x14ac:dyDescent="0.25">
      <c r="E130" t="e">
        <f t="shared" si="162"/>
        <v>#DIV/0!</v>
      </c>
      <c r="H130">
        <f t="shared" si="163"/>
        <v>0</v>
      </c>
      <c r="M130">
        <f t="shared" si="158"/>
        <v>0</v>
      </c>
      <c r="O130">
        <f t="shared" si="161"/>
        <v>0</v>
      </c>
    </row>
    <row r="131" spans="5:15" x14ac:dyDescent="0.25">
      <c r="E131" t="e">
        <f t="shared" si="162"/>
        <v>#DIV/0!</v>
      </c>
      <c r="H131">
        <f t="shared" si="163"/>
        <v>0</v>
      </c>
      <c r="M131">
        <f t="shared" si="158"/>
        <v>0</v>
      </c>
      <c r="O131">
        <f t="shared" si="161"/>
        <v>0</v>
      </c>
    </row>
    <row r="132" spans="5:15" x14ac:dyDescent="0.25">
      <c r="E132" t="e">
        <f t="shared" si="162"/>
        <v>#DIV/0!</v>
      </c>
      <c r="H132">
        <f t="shared" si="163"/>
        <v>0</v>
      </c>
      <c r="M132">
        <f t="shared" si="158"/>
        <v>0</v>
      </c>
      <c r="O132">
        <f t="shared" si="161"/>
        <v>0</v>
      </c>
    </row>
    <row r="133" spans="5:15" x14ac:dyDescent="0.25">
      <c r="E133" t="e">
        <f t="shared" si="162"/>
        <v>#DIV/0!</v>
      </c>
      <c r="H133">
        <f t="shared" si="163"/>
        <v>0</v>
      </c>
      <c r="M133">
        <f t="shared" si="158"/>
        <v>0</v>
      </c>
      <c r="O133">
        <f t="shared" si="161"/>
        <v>0</v>
      </c>
    </row>
  </sheetData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A85"/>
  <sheetViews>
    <sheetView workbookViewId="0">
      <selection activeCell="H14" sqref="H14"/>
    </sheetView>
  </sheetViews>
  <sheetFormatPr defaultRowHeight="15" x14ac:dyDescent="0.25"/>
  <cols>
    <col min="1" max="1" width="26.85546875" style="3" customWidth="1"/>
  </cols>
  <sheetData>
    <row r="1" spans="1:27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x14ac:dyDescent="0.25">
      <c r="A2" s="1" t="s">
        <v>111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P2" s="1"/>
    </row>
    <row r="3" spans="1:27" x14ac:dyDescent="0.25">
      <c r="A3" s="3" t="s">
        <v>60</v>
      </c>
      <c r="B3">
        <f>1+1</f>
        <v>2</v>
      </c>
      <c r="C3">
        <f>1+1+1</f>
        <v>3</v>
      </c>
      <c r="E3" s="2">
        <f t="shared" ref="E3:E72" si="0">(B3)/(B3+C3+D3)</f>
        <v>0.4</v>
      </c>
      <c r="F3">
        <f>2+7+0+9+0</f>
        <v>18</v>
      </c>
      <c r="G3">
        <f>4+4+6+4+17</f>
        <v>35</v>
      </c>
      <c r="H3">
        <f t="shared" ref="H3:H72" si="1">F3-G3</f>
        <v>-17</v>
      </c>
      <c r="J3">
        <f>40</f>
        <v>40</v>
      </c>
      <c r="L3">
        <f t="shared" ref="L3:L62" si="2">B3*10</f>
        <v>20</v>
      </c>
      <c r="M3">
        <f t="shared" ref="M3:M25" si="3">D3*5</f>
        <v>0</v>
      </c>
      <c r="N3">
        <f>10</f>
        <v>10</v>
      </c>
      <c r="O3">
        <f t="shared" ref="O3:O55" si="4">SUM(I3:N3)</f>
        <v>70</v>
      </c>
    </row>
    <row r="4" spans="1:27" x14ac:dyDescent="0.25">
      <c r="A4" s="3" t="s">
        <v>114</v>
      </c>
      <c r="C4">
        <f>1+1+1</f>
        <v>3</v>
      </c>
      <c r="E4" s="2">
        <f t="shared" ref="E4" si="5">(B4)/(B4+C4+D4)</f>
        <v>0</v>
      </c>
      <c r="F4">
        <f>0+3+0</f>
        <v>3</v>
      </c>
      <c r="G4">
        <f>5+11+6</f>
        <v>22</v>
      </c>
      <c r="H4">
        <f t="shared" ref="H4" si="6">F4-G4</f>
        <v>-19</v>
      </c>
      <c r="K4">
        <f>20</f>
        <v>20</v>
      </c>
      <c r="L4">
        <f t="shared" ref="L4" si="7">B4*10</f>
        <v>0</v>
      </c>
      <c r="M4">
        <f t="shared" ref="M4" si="8">D4*5</f>
        <v>0</v>
      </c>
      <c r="N4">
        <f>10</f>
        <v>10</v>
      </c>
      <c r="O4">
        <f t="shared" si="4"/>
        <v>30</v>
      </c>
    </row>
    <row r="5" spans="1:27" x14ac:dyDescent="0.25">
      <c r="A5" s="3" t="s">
        <v>112</v>
      </c>
      <c r="B5">
        <f>1+1</f>
        <v>2</v>
      </c>
      <c r="C5">
        <f>1</f>
        <v>1</v>
      </c>
      <c r="E5" s="2">
        <f t="shared" ref="E5:E7" si="9">(B5)/(B5+C5+D5)</f>
        <v>0.66666666666666663</v>
      </c>
      <c r="F5">
        <f>5+9+1</f>
        <v>15</v>
      </c>
      <c r="G5">
        <f>0+1+12</f>
        <v>13</v>
      </c>
      <c r="H5">
        <f t="shared" ref="H5:H7" si="10">F5-G5</f>
        <v>2</v>
      </c>
      <c r="K5">
        <f>20</f>
        <v>20</v>
      </c>
      <c r="L5">
        <f t="shared" ref="L5:L7" si="11">B5*10</f>
        <v>20</v>
      </c>
      <c r="M5">
        <f t="shared" ref="M5:M7" si="12">D5*5</f>
        <v>0</v>
      </c>
      <c r="N5">
        <f>10</f>
        <v>10</v>
      </c>
      <c r="O5">
        <f t="shared" ref="O5:O7" si="13">SUM(I5:N5)</f>
        <v>50</v>
      </c>
    </row>
    <row r="6" spans="1:27" x14ac:dyDescent="0.25">
      <c r="A6" s="3" t="s">
        <v>117</v>
      </c>
      <c r="B6">
        <f>1+1+1</f>
        <v>3</v>
      </c>
      <c r="C6">
        <f>1</f>
        <v>1</v>
      </c>
      <c r="E6" s="2">
        <f t="shared" si="9"/>
        <v>0.75</v>
      </c>
      <c r="F6">
        <f>0+14+14+8</f>
        <v>36</v>
      </c>
      <c r="G6">
        <f>12+1+2+1</f>
        <v>16</v>
      </c>
      <c r="H6">
        <f t="shared" si="10"/>
        <v>20</v>
      </c>
      <c r="I6">
        <f>60</f>
        <v>60</v>
      </c>
      <c r="L6">
        <f t="shared" si="11"/>
        <v>30</v>
      </c>
      <c r="M6">
        <f t="shared" si="12"/>
        <v>0</v>
      </c>
      <c r="N6">
        <f>10</f>
        <v>10</v>
      </c>
      <c r="O6">
        <f t="shared" si="13"/>
        <v>100</v>
      </c>
    </row>
    <row r="7" spans="1:27" x14ac:dyDescent="0.25">
      <c r="A7" s="3" t="s">
        <v>115</v>
      </c>
      <c r="C7">
        <f>1+1+1</f>
        <v>3</v>
      </c>
      <c r="E7" s="2">
        <f t="shared" si="9"/>
        <v>0</v>
      </c>
      <c r="F7">
        <f>1+1+2</f>
        <v>4</v>
      </c>
      <c r="G7">
        <f>9+14+14</f>
        <v>37</v>
      </c>
      <c r="H7">
        <f t="shared" si="10"/>
        <v>-33</v>
      </c>
      <c r="L7">
        <f t="shared" si="11"/>
        <v>0</v>
      </c>
      <c r="M7">
        <f t="shared" si="12"/>
        <v>0</v>
      </c>
      <c r="N7">
        <f>10</f>
        <v>10</v>
      </c>
      <c r="O7">
        <f t="shared" si="13"/>
        <v>10</v>
      </c>
    </row>
    <row r="8" spans="1:27" ht="14.25" customHeight="1" x14ac:dyDescent="0.25">
      <c r="A8" s="3" t="s">
        <v>61</v>
      </c>
      <c r="B8">
        <f>1+1</f>
        <v>2</v>
      </c>
      <c r="C8">
        <f>1</f>
        <v>1</v>
      </c>
      <c r="D8">
        <f>1</f>
        <v>1</v>
      </c>
      <c r="E8" s="2">
        <f t="shared" si="0"/>
        <v>0.5</v>
      </c>
      <c r="F8">
        <f>3+6+7+6</f>
        <v>22</v>
      </c>
      <c r="G8">
        <f>3+0+6+9</f>
        <v>18</v>
      </c>
      <c r="H8">
        <f t="shared" si="1"/>
        <v>4</v>
      </c>
      <c r="J8">
        <f>40</f>
        <v>40</v>
      </c>
      <c r="L8">
        <v>0</v>
      </c>
      <c r="M8">
        <f t="shared" si="3"/>
        <v>5</v>
      </c>
      <c r="N8">
        <f>10</f>
        <v>10</v>
      </c>
      <c r="O8">
        <f t="shared" si="4"/>
        <v>55</v>
      </c>
    </row>
    <row r="9" spans="1:27" x14ac:dyDescent="0.25">
      <c r="A9" s="3" t="s">
        <v>116</v>
      </c>
      <c r="B9">
        <f>1+1</f>
        <v>2</v>
      </c>
      <c r="C9">
        <f>1</f>
        <v>1</v>
      </c>
      <c r="E9" s="2">
        <f t="shared" si="0"/>
        <v>0.66666666666666663</v>
      </c>
      <c r="F9">
        <f>3+11+5</f>
        <v>19</v>
      </c>
      <c r="G9">
        <f>2+3+7</f>
        <v>12</v>
      </c>
      <c r="H9">
        <f t="shared" si="1"/>
        <v>7</v>
      </c>
      <c r="L9">
        <f t="shared" ref="L9" si="14">B9*10</f>
        <v>20</v>
      </c>
      <c r="M9">
        <f t="shared" si="3"/>
        <v>0</v>
      </c>
      <c r="N9">
        <f>10</f>
        <v>10</v>
      </c>
      <c r="O9">
        <f t="shared" si="4"/>
        <v>30</v>
      </c>
    </row>
    <row r="10" spans="1:27" x14ac:dyDescent="0.25">
      <c r="A10" s="3" t="s">
        <v>26</v>
      </c>
      <c r="C10">
        <f>1+1+1</f>
        <v>3</v>
      </c>
      <c r="D10">
        <f>1</f>
        <v>1</v>
      </c>
      <c r="E10" s="2">
        <f t="shared" si="0"/>
        <v>0</v>
      </c>
      <c r="F10">
        <f>3+4+1+0</f>
        <v>8</v>
      </c>
      <c r="G10">
        <f>3+7+15+8</f>
        <v>33</v>
      </c>
      <c r="H10">
        <f t="shared" si="1"/>
        <v>-25</v>
      </c>
      <c r="L10">
        <f t="shared" ref="L10" si="15">B10*10</f>
        <v>0</v>
      </c>
      <c r="M10">
        <f t="shared" si="3"/>
        <v>5</v>
      </c>
      <c r="N10">
        <f>10</f>
        <v>10</v>
      </c>
      <c r="O10">
        <f t="shared" ref="O10" si="16">SUM(I10:N10)</f>
        <v>15</v>
      </c>
    </row>
    <row r="11" spans="1:27" x14ac:dyDescent="0.25">
      <c r="A11" s="3" t="s">
        <v>62</v>
      </c>
      <c r="B11">
        <f>1</f>
        <v>1</v>
      </c>
      <c r="C11">
        <f>1+1+1</f>
        <v>3</v>
      </c>
      <c r="E11" s="2">
        <f t="shared" si="0"/>
        <v>0.25</v>
      </c>
      <c r="F11">
        <f>4+2+5+4</f>
        <v>15</v>
      </c>
      <c r="G11">
        <f>2+8+20+9</f>
        <v>39</v>
      </c>
      <c r="H11">
        <f t="shared" si="1"/>
        <v>-24</v>
      </c>
      <c r="K11">
        <f>20</f>
        <v>20</v>
      </c>
      <c r="L11">
        <f t="shared" si="2"/>
        <v>10</v>
      </c>
      <c r="M11">
        <f t="shared" si="3"/>
        <v>0</v>
      </c>
      <c r="N11">
        <f>10</f>
        <v>10</v>
      </c>
      <c r="O11">
        <f t="shared" si="4"/>
        <v>40</v>
      </c>
    </row>
    <row r="12" spans="1:27" x14ac:dyDescent="0.25">
      <c r="A12" s="3" t="s">
        <v>63</v>
      </c>
      <c r="B12">
        <f>1+1+1+1+1+1+1</f>
        <v>7</v>
      </c>
      <c r="C12">
        <f>1+1</f>
        <v>2</v>
      </c>
      <c r="E12" s="2">
        <f t="shared" si="0"/>
        <v>0.77777777777777779</v>
      </c>
      <c r="F12">
        <f>4+20+15+8+17+0+12+12+8</f>
        <v>96</v>
      </c>
      <c r="G12">
        <f>5+5+1+0+0+5+0+1+1</f>
        <v>18</v>
      </c>
      <c r="H12">
        <f t="shared" si="1"/>
        <v>78</v>
      </c>
      <c r="I12">
        <f>60+60</f>
        <v>120</v>
      </c>
      <c r="L12">
        <f t="shared" si="2"/>
        <v>70</v>
      </c>
      <c r="M12">
        <f t="shared" si="3"/>
        <v>0</v>
      </c>
      <c r="N12">
        <f>10+10</f>
        <v>20</v>
      </c>
      <c r="O12">
        <f t="shared" si="4"/>
        <v>210</v>
      </c>
    </row>
    <row r="13" spans="1:27" x14ac:dyDescent="0.25">
      <c r="A13" s="3" t="s">
        <v>64</v>
      </c>
      <c r="B13">
        <f>1+1+1</f>
        <v>3</v>
      </c>
      <c r="C13">
        <f>1</f>
        <v>1</v>
      </c>
      <c r="E13" s="2">
        <f t="shared" si="0"/>
        <v>0.75</v>
      </c>
      <c r="F13">
        <f>5+8+6+9</f>
        <v>28</v>
      </c>
      <c r="G13">
        <f>4+2+7+6</f>
        <v>19</v>
      </c>
      <c r="H13">
        <f t="shared" si="1"/>
        <v>9</v>
      </c>
      <c r="I13">
        <f>60</f>
        <v>60</v>
      </c>
      <c r="L13">
        <f t="shared" si="2"/>
        <v>30</v>
      </c>
      <c r="M13">
        <f t="shared" si="3"/>
        <v>0</v>
      </c>
      <c r="N13">
        <f>10</f>
        <v>10</v>
      </c>
      <c r="O13">
        <f t="shared" ref="O13" si="17">SUM(I13:N13)</f>
        <v>100</v>
      </c>
    </row>
    <row r="14" spans="1:27" x14ac:dyDescent="0.25">
      <c r="A14" s="3" t="s">
        <v>38</v>
      </c>
      <c r="B14">
        <f>1</f>
        <v>1</v>
      </c>
      <c r="C14">
        <f>1+1+1</f>
        <v>3</v>
      </c>
      <c r="E14" s="2">
        <f t="shared" ref="E14" si="18">(B14)/(B14+C14+D14)</f>
        <v>0.25</v>
      </c>
      <c r="F14">
        <f>2+2+6+1</f>
        <v>11</v>
      </c>
      <c r="G14">
        <f>3+17+0+8</f>
        <v>28</v>
      </c>
      <c r="H14">
        <f t="shared" ref="H14" si="19">F14-G14</f>
        <v>-17</v>
      </c>
      <c r="J14">
        <f>40</f>
        <v>40</v>
      </c>
      <c r="L14">
        <f t="shared" ref="L14" si="20">B14*10</f>
        <v>10</v>
      </c>
      <c r="M14">
        <f t="shared" ref="M14" si="21">D14*5</f>
        <v>0</v>
      </c>
      <c r="N14">
        <f>10</f>
        <v>10</v>
      </c>
      <c r="O14">
        <f t="shared" ref="O14" si="22">SUM(I14:N14)</f>
        <v>60</v>
      </c>
    </row>
    <row r="15" spans="1:27" x14ac:dyDescent="0.25">
      <c r="A15" s="3" t="s">
        <v>113</v>
      </c>
      <c r="B15">
        <f>1+1+1</f>
        <v>3</v>
      </c>
      <c r="C15">
        <f>1</f>
        <v>1</v>
      </c>
      <c r="E15" s="2">
        <f t="shared" si="0"/>
        <v>0.75</v>
      </c>
      <c r="F15">
        <f>5+17+7+1</f>
        <v>30</v>
      </c>
      <c r="G15">
        <f>0+2+5+8</f>
        <v>15</v>
      </c>
      <c r="H15">
        <f t="shared" si="1"/>
        <v>15</v>
      </c>
      <c r="J15">
        <f>40</f>
        <v>40</v>
      </c>
      <c r="L15">
        <f t="shared" si="2"/>
        <v>30</v>
      </c>
      <c r="M15">
        <f t="shared" si="3"/>
        <v>0</v>
      </c>
      <c r="N15">
        <f>10</f>
        <v>10</v>
      </c>
      <c r="O15">
        <f t="shared" ref="O15" si="23">SUM(I15:N15)</f>
        <v>80</v>
      </c>
    </row>
    <row r="16" spans="1:27" x14ac:dyDescent="0.25">
      <c r="E16" s="2" t="e">
        <f t="shared" si="0"/>
        <v>#DIV/0!</v>
      </c>
      <c r="H16">
        <f t="shared" si="1"/>
        <v>0</v>
      </c>
      <c r="L16">
        <f t="shared" si="2"/>
        <v>0</v>
      </c>
      <c r="M16">
        <f t="shared" si="3"/>
        <v>0</v>
      </c>
      <c r="O16">
        <f t="shared" si="4"/>
        <v>0</v>
      </c>
    </row>
    <row r="17" spans="5:15" x14ac:dyDescent="0.25">
      <c r="E17" s="2" t="e">
        <f t="shared" si="0"/>
        <v>#DIV/0!</v>
      </c>
      <c r="H17">
        <f t="shared" si="1"/>
        <v>0</v>
      </c>
      <c r="L17">
        <f t="shared" si="2"/>
        <v>0</v>
      </c>
      <c r="M17">
        <f t="shared" si="3"/>
        <v>0</v>
      </c>
      <c r="O17">
        <f t="shared" ref="O17" si="24">SUM(I17:N17)</f>
        <v>0</v>
      </c>
    </row>
    <row r="18" spans="5:15" x14ac:dyDescent="0.25">
      <c r="E18" s="2" t="e">
        <f t="shared" si="0"/>
        <v>#DIV/0!</v>
      </c>
      <c r="H18">
        <f t="shared" si="1"/>
        <v>0</v>
      </c>
      <c r="L18">
        <f t="shared" si="2"/>
        <v>0</v>
      </c>
      <c r="M18">
        <f t="shared" si="3"/>
        <v>0</v>
      </c>
      <c r="O18">
        <f t="shared" si="4"/>
        <v>0</v>
      </c>
    </row>
    <row r="19" spans="5:15" x14ac:dyDescent="0.25">
      <c r="E19" s="2" t="e">
        <f t="shared" si="0"/>
        <v>#DIV/0!</v>
      </c>
      <c r="H19">
        <f t="shared" si="1"/>
        <v>0</v>
      </c>
      <c r="L19">
        <f t="shared" si="2"/>
        <v>0</v>
      </c>
      <c r="M19">
        <f t="shared" si="3"/>
        <v>0</v>
      </c>
      <c r="O19">
        <f t="shared" si="4"/>
        <v>0</v>
      </c>
    </row>
    <row r="20" spans="5:15" x14ac:dyDescent="0.25">
      <c r="E20" s="2" t="e">
        <f t="shared" si="0"/>
        <v>#DIV/0!</v>
      </c>
      <c r="H20">
        <f t="shared" si="1"/>
        <v>0</v>
      </c>
      <c r="L20">
        <f t="shared" si="2"/>
        <v>0</v>
      </c>
      <c r="M20">
        <f t="shared" si="3"/>
        <v>0</v>
      </c>
      <c r="O20">
        <f t="shared" ref="O20" si="25">SUM(I20:N20)</f>
        <v>0</v>
      </c>
    </row>
    <row r="21" spans="5:15" x14ac:dyDescent="0.25">
      <c r="E21" s="2" t="e">
        <f t="shared" si="0"/>
        <v>#DIV/0!</v>
      </c>
      <c r="H21">
        <f t="shared" si="1"/>
        <v>0</v>
      </c>
      <c r="L21">
        <f t="shared" si="2"/>
        <v>0</v>
      </c>
      <c r="M21">
        <f t="shared" si="3"/>
        <v>0</v>
      </c>
      <c r="O21">
        <f t="shared" ref="O21" si="26">SUM(I21:N21)</f>
        <v>0</v>
      </c>
    </row>
    <row r="22" spans="5:15" x14ac:dyDescent="0.25">
      <c r="E22" s="2" t="e">
        <f t="shared" si="0"/>
        <v>#DIV/0!</v>
      </c>
      <c r="H22">
        <f t="shared" si="1"/>
        <v>0</v>
      </c>
      <c r="L22">
        <f t="shared" si="2"/>
        <v>0</v>
      </c>
      <c r="M22">
        <f t="shared" si="3"/>
        <v>0</v>
      </c>
      <c r="O22">
        <f t="shared" si="4"/>
        <v>0</v>
      </c>
    </row>
    <row r="23" spans="5:15" x14ac:dyDescent="0.25">
      <c r="E23" s="2" t="e">
        <f t="shared" si="0"/>
        <v>#DIV/0!</v>
      </c>
      <c r="H23">
        <f t="shared" si="1"/>
        <v>0</v>
      </c>
      <c r="L23">
        <f t="shared" si="2"/>
        <v>0</v>
      </c>
      <c r="M23">
        <f t="shared" si="3"/>
        <v>0</v>
      </c>
      <c r="O23">
        <f t="shared" si="4"/>
        <v>0</v>
      </c>
    </row>
    <row r="24" spans="5:15" x14ac:dyDescent="0.25">
      <c r="E24" s="2" t="e">
        <f t="shared" si="0"/>
        <v>#DIV/0!</v>
      </c>
      <c r="H24">
        <f t="shared" si="1"/>
        <v>0</v>
      </c>
      <c r="L24">
        <f t="shared" si="2"/>
        <v>0</v>
      </c>
      <c r="M24">
        <f t="shared" si="3"/>
        <v>0</v>
      </c>
      <c r="O24">
        <f t="shared" ref="O24" si="27">SUM(I24:N24)</f>
        <v>0</v>
      </c>
    </row>
    <row r="25" spans="5:15" x14ac:dyDescent="0.25">
      <c r="E25" s="2" t="e">
        <f t="shared" si="0"/>
        <v>#DIV/0!</v>
      </c>
      <c r="H25">
        <f t="shared" si="1"/>
        <v>0</v>
      </c>
      <c r="L25">
        <f t="shared" si="2"/>
        <v>0</v>
      </c>
      <c r="M25">
        <f t="shared" si="3"/>
        <v>0</v>
      </c>
      <c r="O25">
        <f t="shared" si="4"/>
        <v>0</v>
      </c>
    </row>
    <row r="26" spans="5:15" x14ac:dyDescent="0.25">
      <c r="E26" s="2" t="e">
        <f t="shared" si="0"/>
        <v>#DIV/0!</v>
      </c>
      <c r="H26">
        <f t="shared" si="1"/>
        <v>0</v>
      </c>
      <c r="L26">
        <f t="shared" si="2"/>
        <v>0</v>
      </c>
      <c r="M26">
        <v>0</v>
      </c>
      <c r="O26">
        <f t="shared" si="4"/>
        <v>0</v>
      </c>
    </row>
    <row r="27" spans="5:15" x14ac:dyDescent="0.25">
      <c r="E27" s="2" t="e">
        <f t="shared" si="0"/>
        <v>#DIV/0!</v>
      </c>
      <c r="H27">
        <f t="shared" si="1"/>
        <v>0</v>
      </c>
      <c r="L27">
        <f t="shared" si="2"/>
        <v>0</v>
      </c>
      <c r="M27">
        <f t="shared" ref="M27:M85" si="28">D27*5</f>
        <v>0</v>
      </c>
      <c r="O27">
        <f t="shared" si="4"/>
        <v>0</v>
      </c>
    </row>
    <row r="28" spans="5:15" x14ac:dyDescent="0.25">
      <c r="E28" s="2" t="e">
        <f t="shared" si="0"/>
        <v>#DIV/0!</v>
      </c>
      <c r="H28">
        <f t="shared" si="1"/>
        <v>0</v>
      </c>
      <c r="L28">
        <f t="shared" si="2"/>
        <v>0</v>
      </c>
      <c r="M28">
        <f t="shared" si="28"/>
        <v>0</v>
      </c>
      <c r="O28">
        <f t="shared" si="4"/>
        <v>0</v>
      </c>
    </row>
    <row r="29" spans="5:15" x14ac:dyDescent="0.25">
      <c r="E29" s="2" t="e">
        <f t="shared" si="0"/>
        <v>#DIV/0!</v>
      </c>
      <c r="H29">
        <f t="shared" si="1"/>
        <v>0</v>
      </c>
      <c r="L29">
        <f t="shared" si="2"/>
        <v>0</v>
      </c>
      <c r="M29">
        <f t="shared" si="28"/>
        <v>0</v>
      </c>
      <c r="O29">
        <f t="shared" si="4"/>
        <v>0</v>
      </c>
    </row>
    <row r="30" spans="5:15" x14ac:dyDescent="0.25">
      <c r="E30" s="2" t="e">
        <f t="shared" si="0"/>
        <v>#DIV/0!</v>
      </c>
      <c r="H30">
        <f t="shared" si="1"/>
        <v>0</v>
      </c>
      <c r="L30">
        <f t="shared" si="2"/>
        <v>0</v>
      </c>
      <c r="M30">
        <f t="shared" si="28"/>
        <v>0</v>
      </c>
      <c r="O30">
        <f t="shared" si="4"/>
        <v>0</v>
      </c>
    </row>
    <row r="31" spans="5:15" x14ac:dyDescent="0.25">
      <c r="E31" s="2" t="e">
        <f t="shared" si="0"/>
        <v>#DIV/0!</v>
      </c>
      <c r="H31">
        <f t="shared" si="1"/>
        <v>0</v>
      </c>
      <c r="L31">
        <f t="shared" si="2"/>
        <v>0</v>
      </c>
      <c r="M31">
        <f t="shared" si="28"/>
        <v>0</v>
      </c>
      <c r="O31">
        <f t="shared" si="4"/>
        <v>0</v>
      </c>
    </row>
    <row r="32" spans="5:15" x14ac:dyDescent="0.25">
      <c r="E32" s="2" t="e">
        <f t="shared" si="0"/>
        <v>#DIV/0!</v>
      </c>
      <c r="H32">
        <f t="shared" si="1"/>
        <v>0</v>
      </c>
      <c r="L32">
        <f t="shared" si="2"/>
        <v>0</v>
      </c>
      <c r="M32">
        <f t="shared" si="28"/>
        <v>0</v>
      </c>
      <c r="O32">
        <f t="shared" si="4"/>
        <v>0</v>
      </c>
    </row>
    <row r="33" spans="1:16" x14ac:dyDescent="0.25">
      <c r="E33" s="2" t="e">
        <f t="shared" si="0"/>
        <v>#DIV/0!</v>
      </c>
      <c r="H33">
        <f t="shared" si="1"/>
        <v>0</v>
      </c>
      <c r="L33">
        <f t="shared" si="2"/>
        <v>0</v>
      </c>
      <c r="M33">
        <f t="shared" si="28"/>
        <v>0</v>
      </c>
      <c r="O33">
        <f t="shared" si="4"/>
        <v>0</v>
      </c>
    </row>
    <row r="34" spans="1:16" x14ac:dyDescent="0.25">
      <c r="E34" s="2" t="e">
        <f t="shared" si="0"/>
        <v>#DIV/0!</v>
      </c>
      <c r="H34">
        <f t="shared" si="1"/>
        <v>0</v>
      </c>
      <c r="L34">
        <f t="shared" si="2"/>
        <v>0</v>
      </c>
      <c r="M34">
        <f t="shared" si="28"/>
        <v>0</v>
      </c>
      <c r="O34">
        <f t="shared" si="4"/>
        <v>0</v>
      </c>
    </row>
    <row r="35" spans="1:16" x14ac:dyDescent="0.25">
      <c r="E35" s="2" t="e">
        <f t="shared" si="0"/>
        <v>#DIV/0!</v>
      </c>
      <c r="H35">
        <f t="shared" si="1"/>
        <v>0</v>
      </c>
      <c r="L35">
        <f t="shared" si="2"/>
        <v>0</v>
      </c>
      <c r="M35">
        <f t="shared" si="28"/>
        <v>0</v>
      </c>
      <c r="O35">
        <f t="shared" si="4"/>
        <v>0</v>
      </c>
    </row>
    <row r="36" spans="1:16" x14ac:dyDescent="0.25">
      <c r="E36" s="2" t="e">
        <f t="shared" si="0"/>
        <v>#DIV/0!</v>
      </c>
      <c r="H36">
        <f t="shared" si="1"/>
        <v>0</v>
      </c>
      <c r="L36">
        <f t="shared" si="2"/>
        <v>0</v>
      </c>
      <c r="M36">
        <f t="shared" si="28"/>
        <v>0</v>
      </c>
      <c r="O36">
        <f t="shared" ref="O36" si="29">SUM(I36:N36)</f>
        <v>0</v>
      </c>
    </row>
    <row r="37" spans="1:16" x14ac:dyDescent="0.25">
      <c r="E37" s="2" t="e">
        <f t="shared" si="0"/>
        <v>#DIV/0!</v>
      </c>
      <c r="H37">
        <f t="shared" si="1"/>
        <v>0</v>
      </c>
      <c r="L37">
        <f t="shared" si="2"/>
        <v>0</v>
      </c>
      <c r="M37">
        <f t="shared" si="28"/>
        <v>0</v>
      </c>
      <c r="O37">
        <f t="shared" si="4"/>
        <v>0</v>
      </c>
    </row>
    <row r="38" spans="1:16" x14ac:dyDescent="0.25">
      <c r="E38" s="2" t="e">
        <f t="shared" si="0"/>
        <v>#DIV/0!</v>
      </c>
      <c r="H38">
        <f t="shared" si="1"/>
        <v>0</v>
      </c>
      <c r="L38">
        <f t="shared" si="2"/>
        <v>0</v>
      </c>
      <c r="M38">
        <f t="shared" si="28"/>
        <v>0</v>
      </c>
      <c r="O38">
        <f t="shared" si="4"/>
        <v>0</v>
      </c>
    </row>
    <row r="39" spans="1:16" x14ac:dyDescent="0.25">
      <c r="E39" s="2" t="e">
        <f t="shared" si="0"/>
        <v>#DIV/0!</v>
      </c>
      <c r="H39">
        <f t="shared" si="1"/>
        <v>0</v>
      </c>
      <c r="L39">
        <f t="shared" si="2"/>
        <v>0</v>
      </c>
      <c r="M39">
        <f t="shared" si="28"/>
        <v>0</v>
      </c>
      <c r="O39">
        <f t="shared" si="4"/>
        <v>0</v>
      </c>
    </row>
    <row r="40" spans="1:16" x14ac:dyDescent="0.25">
      <c r="E40" s="2" t="e">
        <f t="shared" si="0"/>
        <v>#DIV/0!</v>
      </c>
      <c r="H40">
        <f t="shared" si="1"/>
        <v>0</v>
      </c>
      <c r="L40">
        <f t="shared" si="2"/>
        <v>0</v>
      </c>
      <c r="M40">
        <f t="shared" si="28"/>
        <v>0</v>
      </c>
      <c r="O40">
        <f t="shared" si="4"/>
        <v>0</v>
      </c>
    </row>
    <row r="41" spans="1:16" x14ac:dyDescent="0.25">
      <c r="E41" s="2" t="e">
        <f t="shared" si="0"/>
        <v>#DIV/0!</v>
      </c>
      <c r="H41">
        <f t="shared" si="1"/>
        <v>0</v>
      </c>
      <c r="L41">
        <f t="shared" si="2"/>
        <v>0</v>
      </c>
      <c r="M41">
        <f t="shared" si="28"/>
        <v>0</v>
      </c>
      <c r="O41">
        <f t="shared" si="4"/>
        <v>0</v>
      </c>
    </row>
    <row r="42" spans="1:16" x14ac:dyDescent="0.25">
      <c r="E42" s="2" t="e">
        <f t="shared" si="0"/>
        <v>#DIV/0!</v>
      </c>
      <c r="H42">
        <f t="shared" si="1"/>
        <v>0</v>
      </c>
      <c r="L42">
        <f t="shared" si="2"/>
        <v>0</v>
      </c>
      <c r="M42">
        <f t="shared" si="28"/>
        <v>0</v>
      </c>
      <c r="O42">
        <f t="shared" si="4"/>
        <v>0</v>
      </c>
    </row>
    <row r="43" spans="1:16" x14ac:dyDescent="0.25">
      <c r="E43" s="2" t="e">
        <f t="shared" si="0"/>
        <v>#DIV/0!</v>
      </c>
      <c r="H43">
        <f t="shared" si="1"/>
        <v>0</v>
      </c>
      <c r="L43">
        <f t="shared" si="2"/>
        <v>0</v>
      </c>
      <c r="M43">
        <f t="shared" si="28"/>
        <v>0</v>
      </c>
      <c r="O43">
        <f t="shared" ref="O43" si="30">SUM(I43:N43)</f>
        <v>0</v>
      </c>
    </row>
    <row r="44" spans="1:16" x14ac:dyDescent="0.25">
      <c r="E44" s="2" t="e">
        <f t="shared" si="0"/>
        <v>#DIV/0!</v>
      </c>
      <c r="H44">
        <f t="shared" si="1"/>
        <v>0</v>
      </c>
      <c r="L44">
        <f t="shared" si="2"/>
        <v>0</v>
      </c>
      <c r="M44">
        <f t="shared" si="28"/>
        <v>0</v>
      </c>
      <c r="O44">
        <f t="shared" si="4"/>
        <v>0</v>
      </c>
    </row>
    <row r="45" spans="1:16" x14ac:dyDescent="0.25">
      <c r="E45" s="2" t="e">
        <f t="shared" si="0"/>
        <v>#DIV/0!</v>
      </c>
      <c r="H45">
        <f t="shared" si="1"/>
        <v>0</v>
      </c>
      <c r="L45">
        <f t="shared" si="2"/>
        <v>0</v>
      </c>
      <c r="M45">
        <f t="shared" si="28"/>
        <v>0</v>
      </c>
      <c r="O45">
        <f t="shared" si="4"/>
        <v>0</v>
      </c>
    </row>
    <row r="46" spans="1:16" x14ac:dyDescent="0.25">
      <c r="E46" s="2" t="e">
        <f t="shared" si="0"/>
        <v>#DIV/0!</v>
      </c>
      <c r="H46">
        <f t="shared" si="1"/>
        <v>0</v>
      </c>
      <c r="L46">
        <f t="shared" si="2"/>
        <v>0</v>
      </c>
      <c r="M46">
        <f t="shared" si="28"/>
        <v>0</v>
      </c>
      <c r="O46">
        <f t="shared" si="4"/>
        <v>0</v>
      </c>
    </row>
    <row r="47" spans="1:16" x14ac:dyDescent="0.25">
      <c r="A47" s="6"/>
      <c r="B47" s="4"/>
      <c r="C47" s="4"/>
      <c r="D47" s="4"/>
      <c r="E47" s="5" t="e">
        <f t="shared" si="0"/>
        <v>#DIV/0!</v>
      </c>
      <c r="F47" s="4"/>
      <c r="G47" s="4"/>
      <c r="H47" s="4">
        <f t="shared" si="1"/>
        <v>0</v>
      </c>
      <c r="I47" s="4"/>
      <c r="J47" s="4"/>
      <c r="K47" s="4"/>
      <c r="L47" s="4">
        <f t="shared" si="2"/>
        <v>0</v>
      </c>
      <c r="M47" s="4">
        <f t="shared" si="28"/>
        <v>0</v>
      </c>
      <c r="N47" s="4"/>
      <c r="O47" s="4">
        <f t="shared" si="4"/>
        <v>0</v>
      </c>
      <c r="P47" s="4"/>
    </row>
    <row r="48" spans="1:16" x14ac:dyDescent="0.25">
      <c r="E48" s="2" t="e">
        <f t="shared" si="0"/>
        <v>#DIV/0!</v>
      </c>
      <c r="H48">
        <f t="shared" si="1"/>
        <v>0</v>
      </c>
      <c r="L48">
        <f t="shared" si="2"/>
        <v>0</v>
      </c>
      <c r="M48">
        <f t="shared" si="28"/>
        <v>0</v>
      </c>
      <c r="O48">
        <f t="shared" si="4"/>
        <v>0</v>
      </c>
      <c r="P48" s="4"/>
    </row>
    <row r="49" spans="1:16" x14ac:dyDescent="0.25">
      <c r="E49" s="2" t="e">
        <f t="shared" si="0"/>
        <v>#DIV/0!</v>
      </c>
      <c r="H49">
        <f t="shared" si="1"/>
        <v>0</v>
      </c>
      <c r="L49">
        <f t="shared" si="2"/>
        <v>0</v>
      </c>
      <c r="M49">
        <f t="shared" si="28"/>
        <v>0</v>
      </c>
      <c r="O49">
        <f t="shared" si="4"/>
        <v>0</v>
      </c>
    </row>
    <row r="50" spans="1:16" x14ac:dyDescent="0.25">
      <c r="E50" s="2" t="e">
        <f t="shared" si="0"/>
        <v>#DIV/0!</v>
      </c>
      <c r="H50">
        <f t="shared" si="1"/>
        <v>0</v>
      </c>
      <c r="L50">
        <f t="shared" si="2"/>
        <v>0</v>
      </c>
      <c r="M50">
        <f t="shared" si="28"/>
        <v>0</v>
      </c>
      <c r="O50">
        <f t="shared" si="4"/>
        <v>0</v>
      </c>
    </row>
    <row r="51" spans="1:16" x14ac:dyDescent="0.25">
      <c r="A51" s="6"/>
      <c r="B51" s="4"/>
      <c r="C51" s="4"/>
      <c r="D51" s="4"/>
      <c r="E51" s="5" t="e">
        <f t="shared" si="0"/>
        <v>#DIV/0!</v>
      </c>
      <c r="F51" s="4"/>
      <c r="G51" s="4"/>
      <c r="H51" s="4">
        <f t="shared" si="1"/>
        <v>0</v>
      </c>
      <c r="I51" s="4"/>
      <c r="J51" s="4"/>
      <c r="K51" s="4"/>
      <c r="L51" s="4">
        <f t="shared" si="2"/>
        <v>0</v>
      </c>
      <c r="M51" s="4">
        <f t="shared" si="28"/>
        <v>0</v>
      </c>
      <c r="N51" s="4"/>
      <c r="O51" s="4">
        <f t="shared" si="4"/>
        <v>0</v>
      </c>
      <c r="P51" s="4"/>
    </row>
    <row r="52" spans="1:16" x14ac:dyDescent="0.25">
      <c r="A52" s="6"/>
      <c r="B52" s="4"/>
      <c r="C52" s="4"/>
      <c r="D52" s="4"/>
      <c r="E52" s="5" t="e">
        <f t="shared" si="0"/>
        <v>#DIV/0!</v>
      </c>
      <c r="F52" s="4"/>
      <c r="G52" s="4"/>
      <c r="H52" s="4">
        <f t="shared" si="1"/>
        <v>0</v>
      </c>
      <c r="I52" s="4"/>
      <c r="J52" s="4"/>
      <c r="K52" s="4"/>
      <c r="L52" s="4">
        <f t="shared" si="2"/>
        <v>0</v>
      </c>
      <c r="M52" s="4">
        <f t="shared" si="28"/>
        <v>0</v>
      </c>
      <c r="N52" s="4"/>
      <c r="O52" s="4">
        <f t="shared" si="4"/>
        <v>0</v>
      </c>
      <c r="P52" s="4"/>
    </row>
    <row r="53" spans="1:16" x14ac:dyDescent="0.25">
      <c r="A53" s="6"/>
      <c r="B53" s="4"/>
      <c r="C53" s="4"/>
      <c r="D53" s="4"/>
      <c r="E53" s="5" t="e">
        <f t="shared" si="0"/>
        <v>#DIV/0!</v>
      </c>
      <c r="F53" s="4"/>
      <c r="G53" s="4"/>
      <c r="H53" s="4">
        <f t="shared" si="1"/>
        <v>0</v>
      </c>
      <c r="I53" s="4"/>
      <c r="J53" s="4"/>
      <c r="K53" s="4"/>
      <c r="L53" s="4">
        <f t="shared" si="2"/>
        <v>0</v>
      </c>
      <c r="M53" s="4">
        <f t="shared" si="28"/>
        <v>0</v>
      </c>
      <c r="N53" s="4"/>
      <c r="O53" s="4">
        <f t="shared" si="4"/>
        <v>0</v>
      </c>
      <c r="P53" s="4"/>
    </row>
    <row r="54" spans="1:16" x14ac:dyDescent="0.25">
      <c r="A54" s="6"/>
      <c r="B54" s="4"/>
      <c r="C54" s="4"/>
      <c r="D54" s="4"/>
      <c r="E54" s="5" t="e">
        <f t="shared" si="0"/>
        <v>#DIV/0!</v>
      </c>
      <c r="F54" s="4"/>
      <c r="G54" s="4"/>
      <c r="H54" s="4">
        <f t="shared" si="1"/>
        <v>0</v>
      </c>
      <c r="I54" s="4"/>
      <c r="J54" s="4"/>
      <c r="K54" s="4"/>
      <c r="L54" s="4">
        <f t="shared" si="2"/>
        <v>0</v>
      </c>
      <c r="M54" s="4">
        <f t="shared" si="28"/>
        <v>0</v>
      </c>
      <c r="N54" s="4"/>
      <c r="O54" s="4">
        <f t="shared" si="4"/>
        <v>0</v>
      </c>
      <c r="P54" s="4"/>
    </row>
    <row r="55" spans="1:16" x14ac:dyDescent="0.25">
      <c r="A55" s="6"/>
      <c r="B55" s="4"/>
      <c r="C55" s="4"/>
      <c r="D55" s="4"/>
      <c r="E55" s="5" t="e">
        <f t="shared" si="0"/>
        <v>#DIV/0!</v>
      </c>
      <c r="F55" s="4"/>
      <c r="G55" s="4"/>
      <c r="H55" s="4">
        <f t="shared" si="1"/>
        <v>0</v>
      </c>
      <c r="I55" s="4"/>
      <c r="J55" s="4"/>
      <c r="K55" s="4"/>
      <c r="L55" s="4">
        <f t="shared" si="2"/>
        <v>0</v>
      </c>
      <c r="M55" s="4">
        <f t="shared" si="28"/>
        <v>0</v>
      </c>
      <c r="N55" s="4"/>
      <c r="O55" s="4">
        <f t="shared" si="4"/>
        <v>0</v>
      </c>
      <c r="P55" s="4"/>
    </row>
    <row r="56" spans="1:16" x14ac:dyDescent="0.25">
      <c r="A56" s="6"/>
      <c r="B56" s="4"/>
      <c r="C56" s="4"/>
      <c r="D56" s="4"/>
      <c r="E56" s="5" t="e">
        <f t="shared" si="0"/>
        <v>#DIV/0!</v>
      </c>
      <c r="F56" s="4"/>
      <c r="G56" s="4"/>
      <c r="H56" s="4">
        <f t="shared" si="1"/>
        <v>0</v>
      </c>
      <c r="I56" s="4"/>
      <c r="J56" s="4"/>
      <c r="K56" s="4"/>
      <c r="L56" s="4">
        <f t="shared" si="2"/>
        <v>0</v>
      </c>
      <c r="M56" s="4">
        <f t="shared" si="28"/>
        <v>0</v>
      </c>
      <c r="N56" s="4"/>
      <c r="O56" s="4">
        <f t="shared" ref="O56:O85" si="31">SUM(I56:N56)</f>
        <v>0</v>
      </c>
    </row>
    <row r="57" spans="1:16" x14ac:dyDescent="0.25">
      <c r="E57" s="2" t="e">
        <f t="shared" si="0"/>
        <v>#DIV/0!</v>
      </c>
      <c r="H57">
        <f t="shared" si="1"/>
        <v>0</v>
      </c>
      <c r="L57">
        <f t="shared" si="2"/>
        <v>0</v>
      </c>
      <c r="M57">
        <f t="shared" si="28"/>
        <v>0</v>
      </c>
      <c r="O57">
        <f t="shared" si="31"/>
        <v>0</v>
      </c>
    </row>
    <row r="58" spans="1:16" x14ac:dyDescent="0.25">
      <c r="E58" s="2" t="e">
        <f t="shared" si="0"/>
        <v>#DIV/0!</v>
      </c>
      <c r="H58">
        <f t="shared" si="1"/>
        <v>0</v>
      </c>
      <c r="L58">
        <f t="shared" si="2"/>
        <v>0</v>
      </c>
      <c r="M58">
        <f t="shared" si="28"/>
        <v>0</v>
      </c>
      <c r="O58">
        <f t="shared" si="31"/>
        <v>0</v>
      </c>
    </row>
    <row r="59" spans="1:16" x14ac:dyDescent="0.25">
      <c r="E59" s="2" t="e">
        <f t="shared" si="0"/>
        <v>#DIV/0!</v>
      </c>
      <c r="H59">
        <f t="shared" si="1"/>
        <v>0</v>
      </c>
      <c r="L59">
        <f t="shared" si="2"/>
        <v>0</v>
      </c>
      <c r="M59">
        <f t="shared" si="28"/>
        <v>0</v>
      </c>
      <c r="O59">
        <f t="shared" si="31"/>
        <v>0</v>
      </c>
    </row>
    <row r="60" spans="1:16" x14ac:dyDescent="0.25">
      <c r="E60" s="2" t="e">
        <f t="shared" si="0"/>
        <v>#DIV/0!</v>
      </c>
      <c r="H60">
        <f t="shared" si="1"/>
        <v>0</v>
      </c>
      <c r="L60">
        <f t="shared" si="2"/>
        <v>0</v>
      </c>
      <c r="M60">
        <f t="shared" si="28"/>
        <v>0</v>
      </c>
      <c r="O60">
        <f t="shared" si="31"/>
        <v>0</v>
      </c>
    </row>
    <row r="61" spans="1:16" x14ac:dyDescent="0.25">
      <c r="E61" s="2" t="e">
        <f t="shared" si="0"/>
        <v>#DIV/0!</v>
      </c>
      <c r="H61">
        <f t="shared" si="1"/>
        <v>0</v>
      </c>
      <c r="L61">
        <f t="shared" si="2"/>
        <v>0</v>
      </c>
      <c r="M61">
        <f t="shared" si="28"/>
        <v>0</v>
      </c>
      <c r="O61">
        <f t="shared" si="31"/>
        <v>0</v>
      </c>
    </row>
    <row r="62" spans="1:16" x14ac:dyDescent="0.25">
      <c r="E62" s="2" t="e">
        <f t="shared" si="0"/>
        <v>#DIV/0!</v>
      </c>
      <c r="H62">
        <f t="shared" si="1"/>
        <v>0</v>
      </c>
      <c r="L62">
        <f t="shared" si="2"/>
        <v>0</v>
      </c>
      <c r="M62">
        <f t="shared" si="28"/>
        <v>0</v>
      </c>
      <c r="O62">
        <f t="shared" si="31"/>
        <v>0</v>
      </c>
    </row>
    <row r="63" spans="1:16" x14ac:dyDescent="0.25">
      <c r="E63" s="2" t="e">
        <f t="shared" si="0"/>
        <v>#DIV/0!</v>
      </c>
      <c r="H63">
        <f t="shared" si="1"/>
        <v>0</v>
      </c>
      <c r="M63">
        <f t="shared" si="28"/>
        <v>0</v>
      </c>
      <c r="O63">
        <f t="shared" si="31"/>
        <v>0</v>
      </c>
    </row>
    <row r="64" spans="1:16" x14ac:dyDescent="0.25">
      <c r="E64" s="2" t="e">
        <f t="shared" si="0"/>
        <v>#DIV/0!</v>
      </c>
      <c r="H64">
        <f t="shared" si="1"/>
        <v>0</v>
      </c>
      <c r="M64">
        <f t="shared" si="28"/>
        <v>0</v>
      </c>
      <c r="O64">
        <f t="shared" si="31"/>
        <v>0</v>
      </c>
    </row>
    <row r="65" spans="5:15" x14ac:dyDescent="0.25">
      <c r="E65" s="2" t="e">
        <f t="shared" si="0"/>
        <v>#DIV/0!</v>
      </c>
      <c r="H65">
        <f t="shared" si="1"/>
        <v>0</v>
      </c>
      <c r="M65">
        <f t="shared" si="28"/>
        <v>0</v>
      </c>
      <c r="O65">
        <f t="shared" si="31"/>
        <v>0</v>
      </c>
    </row>
    <row r="66" spans="5:15" x14ac:dyDescent="0.25">
      <c r="E66" s="2" t="e">
        <f t="shared" si="0"/>
        <v>#DIV/0!</v>
      </c>
      <c r="H66">
        <f t="shared" si="1"/>
        <v>0</v>
      </c>
      <c r="M66">
        <f t="shared" si="28"/>
        <v>0</v>
      </c>
      <c r="O66">
        <f t="shared" si="31"/>
        <v>0</v>
      </c>
    </row>
    <row r="67" spans="5:15" x14ac:dyDescent="0.25">
      <c r="E67" s="2" t="e">
        <f t="shared" si="0"/>
        <v>#DIV/0!</v>
      </c>
      <c r="H67">
        <f t="shared" si="1"/>
        <v>0</v>
      </c>
      <c r="M67">
        <f t="shared" si="28"/>
        <v>0</v>
      </c>
      <c r="O67">
        <f t="shared" si="31"/>
        <v>0</v>
      </c>
    </row>
    <row r="68" spans="5:15" x14ac:dyDescent="0.25">
      <c r="E68" s="2" t="e">
        <f t="shared" si="0"/>
        <v>#DIV/0!</v>
      </c>
      <c r="H68">
        <f t="shared" si="1"/>
        <v>0</v>
      </c>
      <c r="M68">
        <f t="shared" si="28"/>
        <v>0</v>
      </c>
      <c r="O68">
        <f t="shared" si="31"/>
        <v>0</v>
      </c>
    </row>
    <row r="69" spans="5:15" x14ac:dyDescent="0.25">
      <c r="E69" s="2" t="e">
        <f t="shared" si="0"/>
        <v>#DIV/0!</v>
      </c>
      <c r="H69">
        <f t="shared" si="1"/>
        <v>0</v>
      </c>
      <c r="M69">
        <f t="shared" si="28"/>
        <v>0</v>
      </c>
      <c r="O69">
        <f t="shared" si="31"/>
        <v>0</v>
      </c>
    </row>
    <row r="70" spans="5:15" x14ac:dyDescent="0.25">
      <c r="E70" s="2" t="e">
        <f t="shared" si="0"/>
        <v>#DIV/0!</v>
      </c>
      <c r="H70">
        <f t="shared" si="1"/>
        <v>0</v>
      </c>
      <c r="M70">
        <f t="shared" si="28"/>
        <v>0</v>
      </c>
      <c r="O70">
        <f t="shared" si="31"/>
        <v>0</v>
      </c>
    </row>
    <row r="71" spans="5:15" x14ac:dyDescent="0.25">
      <c r="E71" s="2" t="e">
        <f t="shared" si="0"/>
        <v>#DIV/0!</v>
      </c>
      <c r="H71">
        <f t="shared" si="1"/>
        <v>0</v>
      </c>
      <c r="M71">
        <f t="shared" si="28"/>
        <v>0</v>
      </c>
      <c r="O71">
        <f t="shared" si="31"/>
        <v>0</v>
      </c>
    </row>
    <row r="72" spans="5:15" x14ac:dyDescent="0.25">
      <c r="E72" s="2" t="e">
        <f t="shared" si="0"/>
        <v>#DIV/0!</v>
      </c>
      <c r="H72">
        <f t="shared" si="1"/>
        <v>0</v>
      </c>
      <c r="M72">
        <f t="shared" si="28"/>
        <v>0</v>
      </c>
      <c r="O72">
        <f t="shared" si="31"/>
        <v>0</v>
      </c>
    </row>
    <row r="73" spans="5:15" x14ac:dyDescent="0.25">
      <c r="E73" s="2" t="e">
        <f t="shared" ref="E73:E85" si="32">(B73)/(B73+C73+D73)</f>
        <v>#DIV/0!</v>
      </c>
      <c r="H73">
        <f t="shared" ref="H73:H85" si="33">F73-G73</f>
        <v>0</v>
      </c>
      <c r="M73">
        <f t="shared" si="28"/>
        <v>0</v>
      </c>
      <c r="O73">
        <f t="shared" si="31"/>
        <v>0</v>
      </c>
    </row>
    <row r="74" spans="5:15" x14ac:dyDescent="0.25">
      <c r="E74" s="2" t="e">
        <f t="shared" si="32"/>
        <v>#DIV/0!</v>
      </c>
      <c r="H74">
        <f t="shared" si="33"/>
        <v>0</v>
      </c>
      <c r="M74">
        <f t="shared" si="28"/>
        <v>0</v>
      </c>
      <c r="O74">
        <f t="shared" si="31"/>
        <v>0</v>
      </c>
    </row>
    <row r="75" spans="5:15" x14ac:dyDescent="0.25">
      <c r="E75" s="2" t="e">
        <f t="shared" si="32"/>
        <v>#DIV/0!</v>
      </c>
      <c r="H75">
        <f t="shared" si="33"/>
        <v>0</v>
      </c>
      <c r="M75">
        <f t="shared" si="28"/>
        <v>0</v>
      </c>
      <c r="O75">
        <f t="shared" si="31"/>
        <v>0</v>
      </c>
    </row>
    <row r="76" spans="5:15" x14ac:dyDescent="0.25">
      <c r="E76" s="2" t="e">
        <f t="shared" si="32"/>
        <v>#DIV/0!</v>
      </c>
      <c r="H76">
        <f t="shared" si="33"/>
        <v>0</v>
      </c>
      <c r="M76">
        <f t="shared" si="28"/>
        <v>0</v>
      </c>
      <c r="O76">
        <f t="shared" si="31"/>
        <v>0</v>
      </c>
    </row>
    <row r="77" spans="5:15" x14ac:dyDescent="0.25">
      <c r="E77" s="2" t="e">
        <f t="shared" si="32"/>
        <v>#DIV/0!</v>
      </c>
      <c r="H77">
        <f t="shared" si="33"/>
        <v>0</v>
      </c>
      <c r="M77">
        <f t="shared" si="28"/>
        <v>0</v>
      </c>
      <c r="O77">
        <f t="shared" si="31"/>
        <v>0</v>
      </c>
    </row>
    <row r="78" spans="5:15" x14ac:dyDescent="0.25">
      <c r="E78" s="2" t="e">
        <f t="shared" si="32"/>
        <v>#DIV/0!</v>
      </c>
      <c r="H78">
        <f t="shared" si="33"/>
        <v>0</v>
      </c>
      <c r="M78">
        <f t="shared" si="28"/>
        <v>0</v>
      </c>
      <c r="O78">
        <f t="shared" si="31"/>
        <v>0</v>
      </c>
    </row>
    <row r="79" spans="5:15" x14ac:dyDescent="0.25">
      <c r="E79" s="2" t="e">
        <f t="shared" si="32"/>
        <v>#DIV/0!</v>
      </c>
      <c r="H79">
        <f t="shared" si="33"/>
        <v>0</v>
      </c>
      <c r="M79">
        <f t="shared" si="28"/>
        <v>0</v>
      </c>
      <c r="O79">
        <f t="shared" si="31"/>
        <v>0</v>
      </c>
    </row>
    <row r="80" spans="5:15" x14ac:dyDescent="0.25">
      <c r="E80" s="2" t="e">
        <f t="shared" si="32"/>
        <v>#DIV/0!</v>
      </c>
      <c r="H80">
        <f t="shared" si="33"/>
        <v>0</v>
      </c>
      <c r="M80">
        <f t="shared" si="28"/>
        <v>0</v>
      </c>
      <c r="O80">
        <f t="shared" si="31"/>
        <v>0</v>
      </c>
    </row>
    <row r="81" spans="5:15" x14ac:dyDescent="0.25">
      <c r="E81" s="2" t="e">
        <f t="shared" si="32"/>
        <v>#DIV/0!</v>
      </c>
      <c r="H81">
        <f t="shared" si="33"/>
        <v>0</v>
      </c>
      <c r="M81">
        <f t="shared" si="28"/>
        <v>0</v>
      </c>
      <c r="O81">
        <f t="shared" si="31"/>
        <v>0</v>
      </c>
    </row>
    <row r="82" spans="5:15" x14ac:dyDescent="0.25">
      <c r="E82" t="e">
        <f t="shared" si="32"/>
        <v>#DIV/0!</v>
      </c>
      <c r="H82">
        <f t="shared" si="33"/>
        <v>0</v>
      </c>
      <c r="M82">
        <f t="shared" si="28"/>
        <v>0</v>
      </c>
      <c r="O82">
        <f t="shared" si="31"/>
        <v>0</v>
      </c>
    </row>
    <row r="83" spans="5:15" x14ac:dyDescent="0.25">
      <c r="E83" t="e">
        <f t="shared" si="32"/>
        <v>#DIV/0!</v>
      </c>
      <c r="H83">
        <f t="shared" si="33"/>
        <v>0</v>
      </c>
      <c r="M83">
        <f t="shared" si="28"/>
        <v>0</v>
      </c>
      <c r="O83">
        <f t="shared" si="31"/>
        <v>0</v>
      </c>
    </row>
    <row r="84" spans="5:15" x14ac:dyDescent="0.25">
      <c r="E84" t="e">
        <f t="shared" si="32"/>
        <v>#DIV/0!</v>
      </c>
      <c r="H84">
        <f t="shared" si="33"/>
        <v>0</v>
      </c>
      <c r="M84">
        <f t="shared" si="28"/>
        <v>0</v>
      </c>
      <c r="O84">
        <f t="shared" si="31"/>
        <v>0</v>
      </c>
    </row>
    <row r="85" spans="5:15" x14ac:dyDescent="0.25">
      <c r="E85" t="e">
        <f t="shared" si="32"/>
        <v>#DIV/0!</v>
      </c>
      <c r="H85">
        <f t="shared" si="33"/>
        <v>0</v>
      </c>
      <c r="M85">
        <f t="shared" si="28"/>
        <v>0</v>
      </c>
      <c r="O85">
        <f t="shared" si="31"/>
        <v>0</v>
      </c>
    </row>
  </sheetData>
  <sortState xmlns:xlrd2="http://schemas.microsoft.com/office/spreadsheetml/2017/richdata2" ref="A3:O70">
    <sortCondition ref="A13:A70"/>
  </sortState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8U</vt:lpstr>
      <vt:lpstr>10U</vt:lpstr>
      <vt:lpstr>12U</vt:lpstr>
      <vt:lpstr>14U</vt:lpstr>
      <vt:lpstr>16-18U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 Horne</dc:creator>
  <cp:lastModifiedBy>Matthew Horne</cp:lastModifiedBy>
  <dcterms:created xsi:type="dcterms:W3CDTF">2022-03-03T19:52:13Z</dcterms:created>
  <dcterms:modified xsi:type="dcterms:W3CDTF">2023-06-29T00:34:49Z</dcterms:modified>
</cp:coreProperties>
</file>